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f5bf0834d02ed3a/CARE Planning/2023/Battlebots Extrteme 2023/"/>
    </mc:Choice>
  </mc:AlternateContent>
  <xr:revisionPtr revIDLastSave="115" documentId="8_{B5300E21-9C07-4A12-853E-6667E579E883}" xr6:coauthVersionLast="47" xr6:coauthVersionMax="47" xr10:uidLastSave="{AEADD0FB-7C3E-4CC0-BBA7-445F440E1A96}"/>
  <bookViews>
    <workbookView xWindow="-28920" yWindow="-45" windowWidth="29040" windowHeight="15840" xr2:uid="{E91B0FE2-3C90-446F-8040-1F2F646CCF3F}"/>
  </bookViews>
  <sheets>
    <sheet name="Title" sheetId="9" r:id="rId1"/>
    <sheet name="Premium Trend" sheetId="4" r:id="rId2"/>
    <sheet name="Loss Trend" sheetId="8" r:id="rId3"/>
    <sheet name="Layer Loss Picks" sheetId="7" r:id="rId4"/>
    <sheet name="Final Pricing" sheetId="11" r:id="rId5"/>
    <sheet name="Antitrust Notice" sheetId="10" r:id="rId6"/>
    <sheet name="OL Calc" sheetId="2" state="hidden" r:id="rId7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Titles" localSheetId="3">'Layer Loss Picks'!$C:$E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1" l="1"/>
  <c r="C9" i="11" s="1"/>
  <c r="D5" i="11"/>
  <c r="D9" i="11" s="1"/>
  <c r="E11" i="11"/>
  <c r="E12" i="11" s="1"/>
  <c r="K45" i="8"/>
  <c r="C45" i="8"/>
  <c r="C46" i="8" s="1"/>
  <c r="C47" i="8" s="1"/>
  <c r="C48" i="8" s="1"/>
  <c r="C49" i="8" s="1"/>
  <c r="C50" i="8" s="1"/>
  <c r="C51" i="8" s="1"/>
  <c r="C52" i="8" s="1"/>
  <c r="C53" i="8" s="1"/>
  <c r="C54" i="8" s="1"/>
  <c r="C55" i="8" s="1"/>
  <c r="C56" i="8" s="1"/>
  <c r="C57" i="8" s="1"/>
  <c r="C58" i="8" s="1"/>
  <c r="E30" i="8"/>
  <c r="F30" i="8"/>
  <c r="G30" i="8"/>
  <c r="H30" i="8"/>
  <c r="E31" i="8"/>
  <c r="F31" i="8"/>
  <c r="G31" i="8"/>
  <c r="H31" i="8"/>
  <c r="E32" i="8"/>
  <c r="F32" i="8"/>
  <c r="G32" i="8"/>
  <c r="H32" i="8"/>
  <c r="E33" i="8"/>
  <c r="F33" i="8"/>
  <c r="G33" i="8"/>
  <c r="H33" i="8"/>
  <c r="D33" i="8"/>
  <c r="D32" i="8"/>
  <c r="D31" i="8"/>
  <c r="D30" i="8"/>
  <c r="Z26" i="8"/>
  <c r="AA26" i="8"/>
  <c r="AB26" i="8"/>
  <c r="AC26" i="8"/>
  <c r="AD26" i="8"/>
  <c r="AE26" i="8"/>
  <c r="H20" i="4"/>
  <c r="H19" i="4" s="1"/>
  <c r="E18" i="11" l="1"/>
  <c r="K46" i="8"/>
  <c r="E20" i="11" l="1"/>
  <c r="E21" i="11"/>
  <c r="E19" i="11"/>
  <c r="K47" i="8"/>
  <c r="K48" i="8" l="1"/>
  <c r="K49" i="8" l="1"/>
  <c r="K50" i="8" l="1"/>
  <c r="K51" i="8" l="1"/>
  <c r="K52" i="8" l="1"/>
  <c r="K53" i="8" l="1"/>
  <c r="K54" i="8" l="1"/>
  <c r="K55" i="8" l="1"/>
  <c r="K56" i="8" l="1"/>
  <c r="K57" i="8" l="1"/>
  <c r="K58" i="8" l="1"/>
  <c r="B16" i="8" l="1"/>
  <c r="B15" i="8"/>
  <c r="B18" i="7"/>
  <c r="I16" i="8"/>
  <c r="B17" i="7"/>
  <c r="Z6" i="8"/>
  <c r="Z7" i="8" s="1"/>
  <c r="Z8" i="8" s="1"/>
  <c r="Z9" i="8" s="1"/>
  <c r="Z10" i="8" s="1"/>
  <c r="Z11" i="8" s="1"/>
  <c r="Z12" i="8" s="1"/>
  <c r="Z13" i="8" s="1"/>
  <c r="Z14" i="8" s="1"/>
  <c r="Z17" i="8" s="1"/>
  <c r="Z18" i="8" s="1"/>
  <c r="Z20" i="8" s="1"/>
  <c r="Z23" i="8" s="1"/>
  <c r="Z25" i="8" s="1"/>
  <c r="S6" i="8"/>
  <c r="S7" i="8" s="1"/>
  <c r="S8" i="8" s="1"/>
  <c r="S9" i="8" s="1"/>
  <c r="S10" i="8" s="1"/>
  <c r="S11" i="8" s="1"/>
  <c r="S12" i="8" s="1"/>
  <c r="S13" i="8" s="1"/>
  <c r="S14" i="8" s="1"/>
  <c r="S17" i="8" s="1"/>
  <c r="S18" i="8" s="1"/>
  <c r="S20" i="8" s="1"/>
  <c r="S23" i="8" s="1"/>
  <c r="S25" i="8" s="1"/>
  <c r="K6" i="8"/>
  <c r="I6" i="8"/>
  <c r="I7" i="8"/>
  <c r="I8" i="8"/>
  <c r="I9" i="8"/>
  <c r="I10" i="8"/>
  <c r="I11" i="8"/>
  <c r="I12" i="8"/>
  <c r="I13" i="8"/>
  <c r="I14" i="8"/>
  <c r="I15" i="8"/>
  <c r="I17" i="8"/>
  <c r="I18" i="8"/>
  <c r="I19" i="8"/>
  <c r="I20" i="8"/>
  <c r="I21" i="8"/>
  <c r="I22" i="8"/>
  <c r="I23" i="8"/>
  <c r="I24" i="8"/>
  <c r="I25" i="8"/>
  <c r="I5" i="8"/>
  <c r="V51" i="7"/>
  <c r="V52" i="7" s="1"/>
  <c r="V53" i="7" s="1"/>
  <c r="V54" i="7" s="1"/>
  <c r="V55" i="7" s="1"/>
  <c r="V56" i="7" s="1"/>
  <c r="V57" i="7" s="1"/>
  <c r="V58" i="7" s="1"/>
  <c r="V59" i="7" s="1"/>
  <c r="V60" i="7" s="1"/>
  <c r="V61" i="7" s="1"/>
  <c r="V62" i="7" s="1"/>
  <c r="V63" i="7" s="1"/>
  <c r="V64" i="7" s="1"/>
  <c r="N51" i="7"/>
  <c r="N52" i="7" s="1"/>
  <c r="N53" i="7" s="1"/>
  <c r="N54" i="7" s="1"/>
  <c r="N55" i="7" s="1"/>
  <c r="N56" i="7" s="1"/>
  <c r="N57" i="7" s="1"/>
  <c r="N58" i="7" s="1"/>
  <c r="N59" i="7" s="1"/>
  <c r="N60" i="7" s="1"/>
  <c r="N61" i="7" s="1"/>
  <c r="N62" i="7" s="1"/>
  <c r="N63" i="7" s="1"/>
  <c r="N64" i="7" s="1"/>
  <c r="F51" i="7"/>
  <c r="F6" i="4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K7" i="8" l="1"/>
  <c r="K8" i="8" s="1"/>
  <c r="K9" i="8" s="1"/>
  <c r="K10" i="8" s="1"/>
  <c r="K11" i="8" s="1"/>
  <c r="K12" i="8" s="1"/>
  <c r="K13" i="8" s="1"/>
  <c r="K14" i="8" s="1"/>
  <c r="K17" i="8" s="1"/>
  <c r="K18" i="8" s="1"/>
  <c r="K20" i="8" s="1"/>
  <c r="K23" i="8" s="1"/>
  <c r="K25" i="8" s="1"/>
  <c r="AC25" i="8"/>
  <c r="AD25" i="8"/>
  <c r="AE25" i="8"/>
  <c r="AA25" i="8"/>
  <c r="AB25" i="8"/>
  <c r="F52" i="7"/>
  <c r="F53" i="7" l="1"/>
  <c r="F54" i="7" l="1"/>
  <c r="F55" i="7" l="1"/>
  <c r="F56" i="7" l="1"/>
  <c r="F57" i="7" l="1"/>
  <c r="F58" i="7" l="1"/>
  <c r="F59" i="7" l="1"/>
  <c r="F60" i="7" l="1"/>
  <c r="F61" i="7" l="1"/>
  <c r="F62" i="7" l="1"/>
  <c r="F63" i="7" l="1"/>
  <c r="F64" i="7" l="1"/>
  <c r="T38" i="7" l="1"/>
  <c r="L38" i="7"/>
  <c r="B7" i="7" l="1"/>
  <c r="AE24" i="8"/>
  <c r="AE23" i="8" s="1"/>
  <c r="AE22" i="8" s="1"/>
  <c r="AE21" i="8" s="1"/>
  <c r="AE20" i="8" s="1"/>
  <c r="AE19" i="8" s="1"/>
  <c r="AE18" i="8" s="1"/>
  <c r="D19" i="4"/>
  <c r="B26" i="7"/>
  <c r="B24" i="7"/>
  <c r="B23" i="7"/>
  <c r="B21" i="7"/>
  <c r="B5" i="8"/>
  <c r="B19" i="8"/>
  <c r="B21" i="8"/>
  <c r="B22" i="8"/>
  <c r="B24" i="8"/>
  <c r="H26" i="8"/>
  <c r="G26" i="8"/>
  <c r="F26" i="8"/>
  <c r="E26" i="8"/>
  <c r="D26" i="8"/>
  <c r="C6" i="8"/>
  <c r="B6" i="8" l="1"/>
  <c r="AE17" i="8"/>
  <c r="AE15" i="8" s="1"/>
  <c r="P15" i="8" s="1"/>
  <c r="AE16" i="8"/>
  <c r="P16" i="8" s="1"/>
  <c r="AD24" i="8"/>
  <c r="AD23" i="8" s="1"/>
  <c r="AD22" i="8" s="1"/>
  <c r="AD21" i="8" s="1"/>
  <c r="AD20" i="8" s="1"/>
  <c r="AD19" i="8" s="1"/>
  <c r="AD18" i="8" s="1"/>
  <c r="O18" i="8" s="1"/>
  <c r="L25" i="8"/>
  <c r="L58" i="8" s="1"/>
  <c r="AA24" i="8"/>
  <c r="AA23" i="8" s="1"/>
  <c r="AA22" i="8" s="1"/>
  <c r="AA21" i="8" s="1"/>
  <c r="AA20" i="8" s="1"/>
  <c r="AA19" i="8" s="1"/>
  <c r="AA18" i="8" s="1"/>
  <c r="AC24" i="8"/>
  <c r="AC23" i="8" s="1"/>
  <c r="AC22" i="8" s="1"/>
  <c r="AC21" i="8" s="1"/>
  <c r="AC20" i="8" s="1"/>
  <c r="AC19" i="8" s="1"/>
  <c r="AC18" i="8" s="1"/>
  <c r="N18" i="8" s="1"/>
  <c r="M25" i="8"/>
  <c r="M58" i="8" s="1"/>
  <c r="AB24" i="8"/>
  <c r="AB23" i="8" s="1"/>
  <c r="AB22" i="8" s="1"/>
  <c r="AB21" i="8" s="1"/>
  <c r="AB20" i="8" s="1"/>
  <c r="AB19" i="8" s="1"/>
  <c r="AB18" i="8" s="1"/>
  <c r="I30" i="8"/>
  <c r="H18" i="4"/>
  <c r="H17" i="4" s="1"/>
  <c r="H16" i="4" s="1"/>
  <c r="I26" i="8"/>
  <c r="I32" i="8"/>
  <c r="I31" i="8"/>
  <c r="P25" i="8"/>
  <c r="P58" i="8" s="1"/>
  <c r="I33" i="8"/>
  <c r="B8" i="7"/>
  <c r="P24" i="8"/>
  <c r="P17" i="8"/>
  <c r="P54" i="8" s="1"/>
  <c r="O25" i="8"/>
  <c r="O58" i="8" s="1"/>
  <c r="N25" i="8"/>
  <c r="N58" i="8" s="1"/>
  <c r="C7" i="8"/>
  <c r="B7" i="8" s="1"/>
  <c r="AE14" i="8" l="1"/>
  <c r="AE13" i="8" s="1"/>
  <c r="AE12" i="8" s="1"/>
  <c r="AE11" i="8" s="1"/>
  <c r="AE10" i="8" s="1"/>
  <c r="AE9" i="8" s="1"/>
  <c r="AE8" i="8" s="1"/>
  <c r="AE7" i="8" s="1"/>
  <c r="AE6" i="8" s="1"/>
  <c r="AE5" i="8" s="1"/>
  <c r="O24" i="8"/>
  <c r="O21" i="8"/>
  <c r="O22" i="8"/>
  <c r="O19" i="8"/>
  <c r="O55" i="8" s="1"/>
  <c r="O23" i="8"/>
  <c r="O20" i="8"/>
  <c r="N24" i="8"/>
  <c r="D18" i="4"/>
  <c r="D17" i="4"/>
  <c r="N23" i="8"/>
  <c r="N57" i="8" s="1"/>
  <c r="AA17" i="8"/>
  <c r="AA15" i="8" s="1"/>
  <c r="AA14" i="8" s="1"/>
  <c r="AA13" i="8" s="1"/>
  <c r="AA12" i="8" s="1"/>
  <c r="AA11" i="8" s="1"/>
  <c r="AA10" i="8" s="1"/>
  <c r="AA9" i="8" s="1"/>
  <c r="AA8" i="8" s="1"/>
  <c r="AA7" i="8" s="1"/>
  <c r="AA6" i="8" s="1"/>
  <c r="AA5" i="8" s="1"/>
  <c r="AA16" i="8"/>
  <c r="L16" i="8" s="1"/>
  <c r="AD17" i="8"/>
  <c r="AD15" i="8" s="1"/>
  <c r="AD14" i="8" s="1"/>
  <c r="AD13" i="8" s="1"/>
  <c r="AD12" i="8" s="1"/>
  <c r="AD11" i="8" s="1"/>
  <c r="AD10" i="8" s="1"/>
  <c r="AD9" i="8" s="1"/>
  <c r="AD8" i="8" s="1"/>
  <c r="AD7" i="8" s="1"/>
  <c r="AD6" i="8" s="1"/>
  <c r="AD5" i="8" s="1"/>
  <c r="AD16" i="8"/>
  <c r="O16" i="8" s="1"/>
  <c r="AC17" i="8"/>
  <c r="AC16" i="8"/>
  <c r="N16" i="8" s="1"/>
  <c r="N20" i="8"/>
  <c r="N21" i="8"/>
  <c r="AB17" i="8"/>
  <c r="AB15" i="8" s="1"/>
  <c r="AB14" i="8" s="1"/>
  <c r="AB13" i="8" s="1"/>
  <c r="AB12" i="8" s="1"/>
  <c r="AB11" i="8" s="1"/>
  <c r="AB10" i="8" s="1"/>
  <c r="AB9" i="8" s="1"/>
  <c r="AB8" i="8" s="1"/>
  <c r="AB7" i="8" s="1"/>
  <c r="AB6" i="8" s="1"/>
  <c r="AB5" i="8" s="1"/>
  <c r="AB16" i="8"/>
  <c r="M16" i="8" s="1"/>
  <c r="N19" i="8"/>
  <c r="N55" i="8" s="1"/>
  <c r="N22" i="8"/>
  <c r="M24" i="8"/>
  <c r="Q25" i="8"/>
  <c r="Q58" i="8" s="1"/>
  <c r="H15" i="4"/>
  <c r="D16" i="4"/>
  <c r="B9" i="7"/>
  <c r="B10" i="7"/>
  <c r="P23" i="8"/>
  <c r="P57" i="8" s="1"/>
  <c r="P19" i="8"/>
  <c r="P21" i="8"/>
  <c r="P14" i="8"/>
  <c r="P53" i="8" s="1"/>
  <c r="P20" i="8"/>
  <c r="P18" i="8"/>
  <c r="P55" i="8" s="1"/>
  <c r="P22" i="8"/>
  <c r="M23" i="8"/>
  <c r="M57" i="8" s="1"/>
  <c r="C8" i="8"/>
  <c r="N56" i="8" l="1"/>
  <c r="P56" i="8"/>
  <c r="O56" i="8"/>
  <c r="O57" i="8"/>
  <c r="B8" i="8"/>
  <c r="O17" i="8"/>
  <c r="O54" i="8" s="1"/>
  <c r="L15" i="8"/>
  <c r="AC15" i="8"/>
  <c r="N17" i="8"/>
  <c r="N54" i="8" s="1"/>
  <c r="Q16" i="8"/>
  <c r="M15" i="8"/>
  <c r="O15" i="8"/>
  <c r="O14" i="8"/>
  <c r="O53" i="8" s="1"/>
  <c r="O13" i="8"/>
  <c r="O52" i="8" s="1"/>
  <c r="H14" i="4"/>
  <c r="D15" i="4"/>
  <c r="D26" i="4" s="1"/>
  <c r="P13" i="8"/>
  <c r="P52" i="8" s="1"/>
  <c r="B11" i="7"/>
  <c r="P12" i="8"/>
  <c r="P51" i="8" s="1"/>
  <c r="M22" i="8"/>
  <c r="C9" i="8"/>
  <c r="B9" i="8" l="1"/>
  <c r="AC14" i="8"/>
  <c r="N15" i="8"/>
  <c r="Q15" i="8"/>
  <c r="D32" i="4"/>
  <c r="D46" i="7" s="1"/>
  <c r="D35" i="7"/>
  <c r="H13" i="4"/>
  <c r="D14" i="4"/>
  <c r="B12" i="7"/>
  <c r="M21" i="8"/>
  <c r="O12" i="8"/>
  <c r="O51" i="8" s="1"/>
  <c r="C10" i="8"/>
  <c r="B10" i="8" l="1"/>
  <c r="AC13" i="8"/>
  <c r="N14" i="8"/>
  <c r="N53" i="8" s="1"/>
  <c r="P11" i="8"/>
  <c r="P50" i="8" s="1"/>
  <c r="H12" i="4"/>
  <c r="D13" i="4"/>
  <c r="D25" i="4" s="1"/>
  <c r="B13" i="7"/>
  <c r="O11" i="8"/>
  <c r="O50" i="8" s="1"/>
  <c r="P10" i="8"/>
  <c r="P49" i="8" s="1"/>
  <c r="M20" i="8"/>
  <c r="M56" i="8" s="1"/>
  <c r="C11" i="8"/>
  <c r="B11" i="8" l="1"/>
  <c r="AC12" i="8"/>
  <c r="N13" i="8"/>
  <c r="N52" i="8" s="1"/>
  <c r="D31" i="4"/>
  <c r="D45" i="7" s="1"/>
  <c r="D34" i="7"/>
  <c r="H11" i="4"/>
  <c r="D12" i="4"/>
  <c r="B14" i="7"/>
  <c r="P9" i="8"/>
  <c r="P48" i="8" s="1"/>
  <c r="M19" i="8"/>
  <c r="O10" i="8"/>
  <c r="O49" i="8" s="1"/>
  <c r="C12" i="8"/>
  <c r="B12" i="8" l="1"/>
  <c r="AC11" i="8"/>
  <c r="N12" i="8"/>
  <c r="N51" i="8" s="1"/>
  <c r="H10" i="4"/>
  <c r="D11" i="4"/>
  <c r="B15" i="7"/>
  <c r="O9" i="8"/>
  <c r="O48" i="8" s="1"/>
  <c r="P8" i="8"/>
  <c r="P47" i="8" s="1"/>
  <c r="M18" i="8"/>
  <c r="M55" i="8" s="1"/>
  <c r="C13" i="8"/>
  <c r="B13" i="8" s="1"/>
  <c r="AC10" i="8" l="1"/>
  <c r="N11" i="8"/>
  <c r="N50" i="8" s="1"/>
  <c r="H9" i="4"/>
  <c r="D10" i="4"/>
  <c r="D24" i="4" s="1"/>
  <c r="B16" i="7"/>
  <c r="M17" i="8"/>
  <c r="M54" i="8" s="1"/>
  <c r="P7" i="8"/>
  <c r="P46" i="8" s="1"/>
  <c r="O8" i="8"/>
  <c r="O47" i="8" s="1"/>
  <c r="C14" i="8"/>
  <c r="B14" i="8" s="1"/>
  <c r="AC9" i="8" l="1"/>
  <c r="N10" i="8"/>
  <c r="N49" i="8" s="1"/>
  <c r="D30" i="4"/>
  <c r="D44" i="7" s="1"/>
  <c r="D33" i="7"/>
  <c r="H8" i="4"/>
  <c r="D9" i="4"/>
  <c r="B19" i="7"/>
  <c r="O7" i="8"/>
  <c r="O46" i="8" s="1"/>
  <c r="P6" i="8"/>
  <c r="P45" i="8" s="1"/>
  <c r="M14" i="8"/>
  <c r="M53" i="8" s="1"/>
  <c r="C17" i="8"/>
  <c r="B17" i="8" s="1"/>
  <c r="AC8" i="8" l="1"/>
  <c r="N9" i="8"/>
  <c r="N48" i="8" s="1"/>
  <c r="H7" i="4"/>
  <c r="D8" i="4"/>
  <c r="B20" i="7"/>
  <c r="M13" i="8"/>
  <c r="M52" i="8" s="1"/>
  <c r="O6" i="8"/>
  <c r="O45" i="8" s="1"/>
  <c r="P5" i="8"/>
  <c r="C18" i="8"/>
  <c r="B18" i="8" s="1"/>
  <c r="P30" i="8" l="1"/>
  <c r="P44" i="8"/>
  <c r="AC7" i="8"/>
  <c r="N8" i="8"/>
  <c r="N47" i="8" s="1"/>
  <c r="H6" i="4"/>
  <c r="D7" i="4"/>
  <c r="O5" i="8"/>
  <c r="M12" i="8"/>
  <c r="M51" i="8" s="1"/>
  <c r="B22" i="7"/>
  <c r="C20" i="8"/>
  <c r="B20" i="8" s="1"/>
  <c r="O30" i="8" l="1"/>
  <c r="O37" i="8" s="1"/>
  <c r="O44" i="8"/>
  <c r="P37" i="8"/>
  <c r="AC6" i="8"/>
  <c r="N7" i="8"/>
  <c r="N46" i="8" s="1"/>
  <c r="H5" i="4"/>
  <c r="D5" i="4" s="1"/>
  <c r="D6" i="4"/>
  <c r="M11" i="8"/>
  <c r="M50" i="8" s="1"/>
  <c r="B25" i="7"/>
  <c r="C23" i="8"/>
  <c r="B23" i="8" s="1"/>
  <c r="AC5" i="8" l="1"/>
  <c r="N5" i="8" s="1"/>
  <c r="N6" i="8"/>
  <c r="N45" i="8" s="1"/>
  <c r="D7" i="7"/>
  <c r="D23" i="4"/>
  <c r="D20" i="4"/>
  <c r="M10" i="8"/>
  <c r="M49" i="8" s="1"/>
  <c r="B27" i="7"/>
  <c r="C25" i="8"/>
  <c r="B25" i="8" l="1"/>
  <c r="I44" i="8"/>
  <c r="I58" i="8"/>
  <c r="H51" i="8"/>
  <c r="E58" i="8"/>
  <c r="I55" i="8"/>
  <c r="E57" i="8"/>
  <c r="I50" i="8"/>
  <c r="G46" i="8"/>
  <c r="D48" i="8"/>
  <c r="H55" i="8"/>
  <c r="D47" i="8"/>
  <c r="G49" i="8"/>
  <c r="H56" i="8"/>
  <c r="G45" i="8"/>
  <c r="H52" i="8"/>
  <c r="I46" i="8"/>
  <c r="G52" i="8"/>
  <c r="G44" i="8"/>
  <c r="E51" i="8"/>
  <c r="I48" i="8"/>
  <c r="D52" i="8"/>
  <c r="F56" i="8"/>
  <c r="F55" i="8"/>
  <c r="E45" i="8"/>
  <c r="H46" i="8"/>
  <c r="F46" i="8"/>
  <c r="E53" i="8"/>
  <c r="I53" i="8"/>
  <c r="H54" i="8"/>
  <c r="H58" i="8"/>
  <c r="F52" i="8"/>
  <c r="I56" i="8"/>
  <c r="I49" i="8"/>
  <c r="I54" i="8"/>
  <c r="E56" i="8"/>
  <c r="E52" i="8"/>
  <c r="E39" i="8" s="1"/>
  <c r="I45" i="8"/>
  <c r="I47" i="8"/>
  <c r="F58" i="8"/>
  <c r="F48" i="8"/>
  <c r="I52" i="8"/>
  <c r="D54" i="8"/>
  <c r="F53" i="8"/>
  <c r="G55" i="8"/>
  <c r="H50" i="8"/>
  <c r="E54" i="8"/>
  <c r="I57" i="8"/>
  <c r="H48" i="8"/>
  <c r="H47" i="8"/>
  <c r="F57" i="8"/>
  <c r="G51" i="8"/>
  <c r="G47" i="8"/>
  <c r="E50" i="8"/>
  <c r="D44" i="8"/>
  <c r="G48" i="8"/>
  <c r="G57" i="8"/>
  <c r="D56" i="8"/>
  <c r="E44" i="8"/>
  <c r="G53" i="8"/>
  <c r="F45" i="8"/>
  <c r="H45" i="8"/>
  <c r="D49" i="8"/>
  <c r="G58" i="8"/>
  <c r="F54" i="8"/>
  <c r="F40" i="8" s="1"/>
  <c r="G56" i="8"/>
  <c r="I51" i="8"/>
  <c r="E46" i="8"/>
  <c r="D45" i="8"/>
  <c r="F50" i="8"/>
  <c r="D46" i="8"/>
  <c r="D58" i="8"/>
  <c r="H49" i="8"/>
  <c r="H38" i="8" s="1"/>
  <c r="H57" i="8"/>
  <c r="E48" i="8"/>
  <c r="F51" i="8"/>
  <c r="F49" i="8"/>
  <c r="G50" i="8"/>
  <c r="D51" i="8"/>
  <c r="D55" i="8"/>
  <c r="G54" i="8"/>
  <c r="G40" i="8" s="1"/>
  <c r="D53" i="8"/>
  <c r="D57" i="8"/>
  <c r="D50" i="8"/>
  <c r="H53" i="8"/>
  <c r="E55" i="8"/>
  <c r="E47" i="8"/>
  <c r="E49" i="8"/>
  <c r="E38" i="8" s="1"/>
  <c r="F44" i="8"/>
  <c r="H44" i="8"/>
  <c r="F47" i="8"/>
  <c r="N30" i="8"/>
  <c r="N44" i="8"/>
  <c r="D29" i="4"/>
  <c r="D43" i="7" s="1"/>
  <c r="D32" i="7"/>
  <c r="I7" i="7"/>
  <c r="S7" i="7"/>
  <c r="Q7" i="7"/>
  <c r="AA7" i="7"/>
  <c r="K7" i="7"/>
  <c r="Y7" i="7"/>
  <c r="J7" i="7"/>
  <c r="R7" i="7"/>
  <c r="Z7" i="7"/>
  <c r="M9" i="8"/>
  <c r="M48" i="8" s="1"/>
  <c r="H39" i="8" l="1"/>
  <c r="D38" i="8"/>
  <c r="D37" i="8"/>
  <c r="E40" i="8"/>
  <c r="F39" i="8"/>
  <c r="I37" i="8"/>
  <c r="H40" i="8"/>
  <c r="D39" i="8"/>
  <c r="F37" i="8"/>
  <c r="G37" i="8"/>
  <c r="G38" i="8"/>
  <c r="N37" i="8"/>
  <c r="F38" i="8"/>
  <c r="D40" i="8"/>
  <c r="I40" i="8"/>
  <c r="H37" i="8"/>
  <c r="I39" i="8"/>
  <c r="I38" i="8"/>
  <c r="G39" i="8"/>
  <c r="E37" i="8"/>
  <c r="K50" i="7"/>
  <c r="AA50" i="7"/>
  <c r="Q50" i="7"/>
  <c r="Y50" i="7"/>
  <c r="S50" i="7"/>
  <c r="Z50" i="7"/>
  <c r="I50" i="7"/>
  <c r="R50" i="7"/>
  <c r="J50" i="7"/>
  <c r="M8" i="8"/>
  <c r="M47" i="8" s="1"/>
  <c r="O32" i="8"/>
  <c r="O39" i="8" s="1"/>
  <c r="M7" i="8" l="1"/>
  <c r="M46" i="8" s="1"/>
  <c r="O33" i="8"/>
  <c r="O40" i="8" s="1"/>
  <c r="M31" i="8"/>
  <c r="M38" i="8" s="1"/>
  <c r="M32" i="8"/>
  <c r="M39" i="8" s="1"/>
  <c r="P26" i="8"/>
  <c r="P31" i="8"/>
  <c r="P38" i="8" s="1"/>
  <c r="P32" i="8"/>
  <c r="P39" i="8" s="1"/>
  <c r="P33" i="8"/>
  <c r="P40" i="8" s="1"/>
  <c r="O26" i="8"/>
  <c r="O31" i="8"/>
  <c r="O38" i="8" s="1"/>
  <c r="N26" i="8"/>
  <c r="N31" i="8"/>
  <c r="N38" i="8" s="1"/>
  <c r="N32" i="8"/>
  <c r="N39" i="8" s="1"/>
  <c r="N33" i="8"/>
  <c r="N40" i="8" s="1"/>
  <c r="M33" i="8"/>
  <c r="M40" i="8" s="1"/>
  <c r="M6" i="8" l="1"/>
  <c r="M45" i="8" s="1"/>
  <c r="C26" i="4"/>
  <c r="C32" i="4" s="1"/>
  <c r="C25" i="4"/>
  <c r="C31" i="4" s="1"/>
  <c r="C24" i="4"/>
  <c r="C30" i="4" s="1"/>
  <c r="C23" i="4"/>
  <c r="C29" i="4" s="1"/>
  <c r="B6" i="4"/>
  <c r="D8" i="7" l="1"/>
  <c r="X8" i="7" s="1"/>
  <c r="X51" i="7" s="1"/>
  <c r="M5" i="8"/>
  <c r="B7" i="4"/>
  <c r="M30" i="8" l="1"/>
  <c r="M44" i="8"/>
  <c r="P8" i="7"/>
  <c r="P51" i="7" s="1"/>
  <c r="D9" i="7"/>
  <c r="B8" i="4"/>
  <c r="I8" i="7"/>
  <c r="K8" i="7"/>
  <c r="Q8" i="7"/>
  <c r="S8" i="7"/>
  <c r="AA8" i="7"/>
  <c r="Y8" i="7"/>
  <c r="R8" i="7"/>
  <c r="J8" i="7"/>
  <c r="Z8" i="7"/>
  <c r="H8" i="7"/>
  <c r="H51" i="7" s="1"/>
  <c r="H7" i="7"/>
  <c r="P7" i="7"/>
  <c r="X7" i="7"/>
  <c r="M26" i="8"/>
  <c r="M37" i="8" l="1"/>
  <c r="S51" i="7"/>
  <c r="Q51" i="7"/>
  <c r="X50" i="7"/>
  <c r="H50" i="7"/>
  <c r="K51" i="7"/>
  <c r="P50" i="7"/>
  <c r="Z51" i="7"/>
  <c r="I51" i="7"/>
  <c r="J51" i="7"/>
  <c r="R51" i="7"/>
  <c r="AA51" i="7"/>
  <c r="Y51" i="7"/>
  <c r="D10" i="7"/>
  <c r="Y9" i="7"/>
  <c r="Y52" i="7" s="1"/>
  <c r="AA9" i="7"/>
  <c r="AA52" i="7" s="1"/>
  <c r="S9" i="7"/>
  <c r="S52" i="7" s="1"/>
  <c r="K9" i="7"/>
  <c r="K52" i="7" s="1"/>
  <c r="Q9" i="7"/>
  <c r="Q52" i="7" s="1"/>
  <c r="I9" i="7"/>
  <c r="I52" i="7" s="1"/>
  <c r="R9" i="7"/>
  <c r="R52" i="7" s="1"/>
  <c r="J9" i="7"/>
  <c r="J52" i="7" s="1"/>
  <c r="Z9" i="7"/>
  <c r="Z52" i="7" s="1"/>
  <c r="H9" i="7"/>
  <c r="H52" i="7" s="1"/>
  <c r="X9" i="7"/>
  <c r="X52" i="7" s="1"/>
  <c r="P9" i="7"/>
  <c r="P52" i="7" s="1"/>
  <c r="B9" i="4"/>
  <c r="D11" i="7" s="1"/>
  <c r="B10" i="4" l="1"/>
  <c r="S10" i="7"/>
  <c r="S53" i="7" s="1"/>
  <c r="K10" i="7"/>
  <c r="K53" i="7" s="1"/>
  <c r="I10" i="7"/>
  <c r="I53" i="7" s="1"/>
  <c r="AA10" i="7"/>
  <c r="AA53" i="7" s="1"/>
  <c r="Y10" i="7"/>
  <c r="Q10" i="7"/>
  <c r="Q53" i="7" s="1"/>
  <c r="J10" i="7"/>
  <c r="J53" i="7" s="1"/>
  <c r="R10" i="7"/>
  <c r="R53" i="7" s="1"/>
  <c r="Z10" i="7"/>
  <c r="Z53" i="7" s="1"/>
  <c r="P10" i="7"/>
  <c r="P53" i="7" s="1"/>
  <c r="H10" i="7"/>
  <c r="H53" i="7" s="1"/>
  <c r="X10" i="7"/>
  <c r="X53" i="7" s="1"/>
  <c r="D12" i="7"/>
  <c r="Q11" i="7"/>
  <c r="Q54" i="7" s="1"/>
  <c r="S11" i="7"/>
  <c r="S54" i="7" s="1"/>
  <c r="K11" i="7"/>
  <c r="K54" i="7" s="1"/>
  <c r="AA11" i="7"/>
  <c r="AA54" i="7" s="1"/>
  <c r="I11" i="7"/>
  <c r="I54" i="7" s="1"/>
  <c r="Y11" i="7"/>
  <c r="Y54" i="7" s="1"/>
  <c r="J11" i="7"/>
  <c r="J54" i="7" s="1"/>
  <c r="Z11" i="7"/>
  <c r="Z54" i="7" s="1"/>
  <c r="R11" i="7"/>
  <c r="R54" i="7" s="1"/>
  <c r="X11" i="7"/>
  <c r="X54" i="7" s="1"/>
  <c r="P11" i="7"/>
  <c r="P54" i="7" s="1"/>
  <c r="H11" i="7"/>
  <c r="H54" i="7" s="1"/>
  <c r="B11" i="4"/>
  <c r="Y53" i="7" l="1"/>
  <c r="D13" i="7"/>
  <c r="Y12" i="7"/>
  <c r="Y55" i="7" s="1"/>
  <c r="S12" i="7"/>
  <c r="S55" i="7" s="1"/>
  <c r="Q12" i="7"/>
  <c r="Q55" i="7" s="1"/>
  <c r="AA12" i="7"/>
  <c r="AA55" i="7" s="1"/>
  <c r="K12" i="7"/>
  <c r="K55" i="7" s="1"/>
  <c r="I12" i="7"/>
  <c r="I55" i="7" s="1"/>
  <c r="J12" i="7"/>
  <c r="J55" i="7" s="1"/>
  <c r="R12" i="7"/>
  <c r="Z12" i="7"/>
  <c r="Z55" i="7" s="1"/>
  <c r="H12" i="7"/>
  <c r="H55" i="7" s="1"/>
  <c r="X12" i="7"/>
  <c r="X55" i="7" s="1"/>
  <c r="P12" i="7"/>
  <c r="P55" i="7" s="1"/>
  <c r="B12" i="4"/>
  <c r="R55" i="7" l="1"/>
  <c r="Z13" i="7"/>
  <c r="Z56" i="7" s="1"/>
  <c r="I13" i="7"/>
  <c r="I56" i="7" s="1"/>
  <c r="Y13" i="7"/>
  <c r="Y56" i="7" s="1"/>
  <c r="K13" i="7"/>
  <c r="K56" i="7" s="1"/>
  <c r="S13" i="7"/>
  <c r="S56" i="7" s="1"/>
  <c r="AA13" i="7"/>
  <c r="AA56" i="7" s="1"/>
  <c r="Q13" i="7"/>
  <c r="Q56" i="7" s="1"/>
  <c r="J13" i="7"/>
  <c r="R13" i="7"/>
  <c r="R56" i="7" s="1"/>
  <c r="P13" i="7"/>
  <c r="P56" i="7" s="1"/>
  <c r="X13" i="7"/>
  <c r="X56" i="7" s="1"/>
  <c r="H13" i="7"/>
  <c r="H56" i="7" s="1"/>
  <c r="B13" i="4"/>
  <c r="J56" i="7" l="1"/>
  <c r="B14" i="4"/>
  <c r="B15" i="4" l="1"/>
  <c r="B16" i="4" l="1"/>
  <c r="B17" i="4" l="1"/>
  <c r="B18" i="4" l="1"/>
  <c r="B19" i="4" l="1"/>
  <c r="D22" i="7" l="1"/>
  <c r="D23" i="7"/>
  <c r="D17" i="7"/>
  <c r="D18" i="7"/>
  <c r="D14" i="7"/>
  <c r="D20" i="7"/>
  <c r="D21" i="7"/>
  <c r="D25" i="7"/>
  <c r="D27" i="7"/>
  <c r="D19" i="7"/>
  <c r="D15" i="7"/>
  <c r="D24" i="7"/>
  <c r="D26" i="7"/>
  <c r="D16" i="7"/>
  <c r="H18" i="7" l="1"/>
  <c r="K18" i="7"/>
  <c r="AA18" i="7"/>
  <c r="S18" i="7"/>
  <c r="R18" i="7"/>
  <c r="O18" i="7"/>
  <c r="J18" i="7"/>
  <c r="Q18" i="7"/>
  <c r="Z18" i="7"/>
  <c r="I18" i="7"/>
  <c r="Y18" i="7"/>
  <c r="X18" i="7"/>
  <c r="P18" i="7"/>
  <c r="G18" i="7"/>
  <c r="W18" i="7"/>
  <c r="AA17" i="7"/>
  <c r="S17" i="7"/>
  <c r="K17" i="7"/>
  <c r="W17" i="7"/>
  <c r="X17" i="7"/>
  <c r="O17" i="7"/>
  <c r="G17" i="7"/>
  <c r="H17" i="7"/>
  <c r="Z17" i="7"/>
  <c r="P17" i="7"/>
  <c r="J17" i="7"/>
  <c r="R17" i="7"/>
  <c r="Y17" i="7"/>
  <c r="Q17" i="7"/>
  <c r="I17" i="7"/>
  <c r="K16" i="7"/>
  <c r="I16" i="7"/>
  <c r="R16" i="7"/>
  <c r="S16" i="7"/>
  <c r="J16" i="7"/>
  <c r="Q16" i="7"/>
  <c r="H16" i="7"/>
  <c r="P16" i="7"/>
  <c r="R15" i="7"/>
  <c r="I15" i="7"/>
  <c r="I58" i="7" s="1"/>
  <c r="J15" i="7"/>
  <c r="J58" i="7" s="1"/>
  <c r="Q15" i="7"/>
  <c r="Q58" i="7" s="1"/>
  <c r="S15" i="7"/>
  <c r="K15" i="7"/>
  <c r="P15" i="7"/>
  <c r="H15" i="7"/>
  <c r="H58" i="7" s="1"/>
  <c r="Q19" i="7"/>
  <c r="Q60" i="7" s="1"/>
  <c r="I19" i="7"/>
  <c r="I60" i="7" s="1"/>
  <c r="K19" i="7"/>
  <c r="K60" i="7" s="1"/>
  <c r="S19" i="7"/>
  <c r="S60" i="7" s="1"/>
  <c r="R19" i="7"/>
  <c r="J19" i="7"/>
  <c r="J60" i="7" s="1"/>
  <c r="H19" i="7"/>
  <c r="H60" i="7" s="1"/>
  <c r="P19" i="7"/>
  <c r="P60" i="7" s="1"/>
  <c r="I22" i="7"/>
  <c r="R22" i="7"/>
  <c r="Q22" i="7"/>
  <c r="J22" i="7"/>
  <c r="S22" i="7"/>
  <c r="K22" i="7"/>
  <c r="P22" i="7"/>
  <c r="H22" i="7"/>
  <c r="G27" i="7"/>
  <c r="G64" i="7" s="1"/>
  <c r="Q27" i="7"/>
  <c r="H27" i="7"/>
  <c r="O27" i="7"/>
  <c r="O64" i="7" s="1"/>
  <c r="I27" i="7"/>
  <c r="J27" i="7"/>
  <c r="S27" i="7"/>
  <c r="R27" i="7"/>
  <c r="K27" i="7"/>
  <c r="P27" i="7"/>
  <c r="I25" i="7"/>
  <c r="J25" i="7"/>
  <c r="Q25" i="7"/>
  <c r="R25" i="7"/>
  <c r="K25" i="7"/>
  <c r="H25" i="7"/>
  <c r="P25" i="7"/>
  <c r="S25" i="7"/>
  <c r="R21" i="7"/>
  <c r="Q21" i="7"/>
  <c r="I21" i="7"/>
  <c r="J21" i="7"/>
  <c r="K21" i="7"/>
  <c r="S21" i="7"/>
  <c r="P21" i="7"/>
  <c r="H21" i="7"/>
  <c r="Q23" i="7"/>
  <c r="J23" i="7"/>
  <c r="I23" i="7"/>
  <c r="R23" i="7"/>
  <c r="S23" i="7"/>
  <c r="K23" i="7"/>
  <c r="P23" i="7"/>
  <c r="H23" i="7"/>
  <c r="R24" i="7"/>
  <c r="J24" i="7"/>
  <c r="I24" i="7"/>
  <c r="Q24" i="7"/>
  <c r="S24" i="7"/>
  <c r="K24" i="7"/>
  <c r="P24" i="7"/>
  <c r="H24" i="7"/>
  <c r="J26" i="7"/>
  <c r="K26" i="7"/>
  <c r="P26" i="7"/>
  <c r="H26" i="7"/>
  <c r="I26" i="7"/>
  <c r="S26" i="7"/>
  <c r="Q26" i="7"/>
  <c r="R26" i="7"/>
  <c r="J20" i="7"/>
  <c r="Q20" i="7"/>
  <c r="I20" i="7"/>
  <c r="R20" i="7"/>
  <c r="S20" i="7"/>
  <c r="K20" i="7"/>
  <c r="P20" i="7"/>
  <c r="P61" i="7" s="1"/>
  <c r="H20" i="7"/>
  <c r="X27" i="7"/>
  <c r="Y27" i="7"/>
  <c r="Y64" i="7" s="1"/>
  <c r="W27" i="7"/>
  <c r="W64" i="7" s="1"/>
  <c r="AA27" i="7"/>
  <c r="Z27" i="7"/>
  <c r="X22" i="7"/>
  <c r="Y22" i="7"/>
  <c r="AA22" i="7"/>
  <c r="Z22" i="7"/>
  <c r="Y25" i="7"/>
  <c r="AA25" i="7"/>
  <c r="Z25" i="7"/>
  <c r="X25" i="7"/>
  <c r="Z21" i="7"/>
  <c r="Y21" i="7"/>
  <c r="AA21" i="7"/>
  <c r="X21" i="7"/>
  <c r="Y19" i="7"/>
  <c r="Y60" i="7" s="1"/>
  <c r="R60" i="7"/>
  <c r="X19" i="7"/>
  <c r="X60" i="7" s="1"/>
  <c r="AA19" i="7"/>
  <c r="AA60" i="7" s="1"/>
  <c r="Z19" i="7"/>
  <c r="Z60" i="7" s="1"/>
  <c r="Z23" i="7"/>
  <c r="Y23" i="7"/>
  <c r="AA23" i="7"/>
  <c r="X23" i="7"/>
  <c r="AA26" i="7"/>
  <c r="X26" i="7"/>
  <c r="Z26" i="7"/>
  <c r="Y26" i="7"/>
  <c r="AA20" i="7"/>
  <c r="Z20" i="7"/>
  <c r="Y20" i="7"/>
  <c r="X20" i="7"/>
  <c r="AA16" i="7"/>
  <c r="Z16" i="7"/>
  <c r="Y16" i="7"/>
  <c r="Y59" i="7" s="1"/>
  <c r="X16" i="7"/>
  <c r="X59" i="7" s="1"/>
  <c r="Z24" i="7"/>
  <c r="Y24" i="7"/>
  <c r="AA24" i="7"/>
  <c r="X24" i="7"/>
  <c r="Z15" i="7"/>
  <c r="Z58" i="7" s="1"/>
  <c r="S58" i="7"/>
  <c r="Y15" i="7"/>
  <c r="Y58" i="7" s="1"/>
  <c r="AA15" i="7"/>
  <c r="AA58" i="7" s="1"/>
  <c r="X15" i="7"/>
  <c r="X58" i="7" s="1"/>
  <c r="R14" i="7"/>
  <c r="K14" i="7"/>
  <c r="K57" i="7" s="1"/>
  <c r="Q14" i="7"/>
  <c r="Q57" i="7" s="1"/>
  <c r="I14" i="7"/>
  <c r="I57" i="7" s="1"/>
  <c r="Y14" i="7"/>
  <c r="Z14" i="7"/>
  <c r="Z57" i="7" s="1"/>
  <c r="J14" i="7"/>
  <c r="J57" i="7" s="1"/>
  <c r="S14" i="7"/>
  <c r="S57" i="7" s="1"/>
  <c r="AA14" i="7"/>
  <c r="P14" i="7"/>
  <c r="P57" i="7" s="1"/>
  <c r="H14" i="7"/>
  <c r="H57" i="7" s="1"/>
  <c r="X14" i="7"/>
  <c r="X57" i="7" s="1"/>
  <c r="C20" i="4"/>
  <c r="AB18" i="7" l="1"/>
  <c r="AA61" i="7"/>
  <c r="P59" i="7"/>
  <c r="R59" i="7"/>
  <c r="S59" i="7"/>
  <c r="K59" i="7"/>
  <c r="J59" i="7"/>
  <c r="X61" i="7"/>
  <c r="I59" i="7"/>
  <c r="Q59" i="7"/>
  <c r="L17" i="7"/>
  <c r="L18" i="7"/>
  <c r="T18" i="7"/>
  <c r="AA59" i="7"/>
  <c r="H59" i="7"/>
  <c r="T17" i="7"/>
  <c r="Z59" i="7"/>
  <c r="AB17" i="7"/>
  <c r="T27" i="7"/>
  <c r="L27" i="7"/>
  <c r="Z61" i="7"/>
  <c r="Y61" i="7"/>
  <c r="J64" i="7"/>
  <c r="J28" i="7"/>
  <c r="R64" i="7"/>
  <c r="R28" i="7"/>
  <c r="Z64" i="7"/>
  <c r="Z28" i="7"/>
  <c r="X28" i="7"/>
  <c r="Y57" i="7"/>
  <c r="Y28" i="7"/>
  <c r="AA64" i="7"/>
  <c r="AA28" i="7"/>
  <c r="I64" i="7"/>
  <c r="I28" i="7"/>
  <c r="H64" i="7"/>
  <c r="H28" i="7"/>
  <c r="P64" i="7"/>
  <c r="P28" i="7"/>
  <c r="K64" i="7"/>
  <c r="K28" i="7"/>
  <c r="Q64" i="7"/>
  <c r="Q28" i="7"/>
  <c r="S64" i="7"/>
  <c r="S28" i="7"/>
  <c r="K61" i="7"/>
  <c r="Q61" i="7"/>
  <c r="Q63" i="7"/>
  <c r="R63" i="7"/>
  <c r="I61" i="7"/>
  <c r="Y62" i="7"/>
  <c r="AA63" i="7"/>
  <c r="I62" i="7"/>
  <c r="J61" i="7"/>
  <c r="I63" i="7"/>
  <c r="AA62" i="7"/>
  <c r="P62" i="7"/>
  <c r="S63" i="7"/>
  <c r="K62" i="7"/>
  <c r="P34" i="7"/>
  <c r="P58" i="7"/>
  <c r="R34" i="7"/>
  <c r="R58" i="7"/>
  <c r="H63" i="7"/>
  <c r="P63" i="7"/>
  <c r="S62" i="7"/>
  <c r="X32" i="7"/>
  <c r="X64" i="7"/>
  <c r="R33" i="7"/>
  <c r="R57" i="7"/>
  <c r="X63" i="7"/>
  <c r="H61" i="7"/>
  <c r="K63" i="7"/>
  <c r="Y63" i="7"/>
  <c r="Q62" i="7"/>
  <c r="K34" i="7"/>
  <c r="K58" i="7"/>
  <c r="S61" i="7"/>
  <c r="Z63" i="7"/>
  <c r="R62" i="7"/>
  <c r="H62" i="7"/>
  <c r="R61" i="7"/>
  <c r="J63" i="7"/>
  <c r="Z62" i="7"/>
  <c r="X62" i="7"/>
  <c r="AA33" i="7"/>
  <c r="AA57" i="7"/>
  <c r="J62" i="7"/>
  <c r="K32" i="7"/>
  <c r="S33" i="7"/>
  <c r="X34" i="7"/>
  <c r="J34" i="7"/>
  <c r="H35" i="7"/>
  <c r="R35" i="7"/>
  <c r="J32" i="7"/>
  <c r="Y32" i="7"/>
  <c r="K35" i="7"/>
  <c r="J33" i="7"/>
  <c r="H34" i="7"/>
  <c r="Z34" i="7"/>
  <c r="I35" i="7"/>
  <c r="P35" i="7"/>
  <c r="R32" i="7"/>
  <c r="S35" i="7"/>
  <c r="Q35" i="7"/>
  <c r="AA32" i="7"/>
  <c r="I32" i="7"/>
  <c r="Z35" i="7"/>
  <c r="AA34" i="7"/>
  <c r="Y34" i="7"/>
  <c r="AA35" i="7"/>
  <c r="H32" i="7"/>
  <c r="P32" i="7"/>
  <c r="Y35" i="7"/>
  <c r="Y33" i="7"/>
  <c r="I33" i="7"/>
  <c r="H33" i="7"/>
  <c r="Q33" i="7"/>
  <c r="Q34" i="7"/>
  <c r="J35" i="7"/>
  <c r="Q32" i="7"/>
  <c r="Z33" i="7"/>
  <c r="Z32" i="7"/>
  <c r="I34" i="7"/>
  <c r="X33" i="7"/>
  <c r="P33" i="7"/>
  <c r="K33" i="7"/>
  <c r="S34" i="7"/>
  <c r="X35" i="7"/>
  <c r="S32" i="7"/>
  <c r="T64" i="7"/>
  <c r="L64" i="7"/>
  <c r="AB27" i="7"/>
  <c r="G6" i="2"/>
  <c r="E6" i="2" s="1"/>
  <c r="G7" i="2"/>
  <c r="E7" i="2" s="1"/>
  <c r="G8" i="2"/>
  <c r="E8" i="2" s="1"/>
  <c r="G10" i="2"/>
  <c r="E10" i="2" s="1"/>
  <c r="G11" i="2"/>
  <c r="E11" i="2" s="1"/>
  <c r="G12" i="2"/>
  <c r="E12" i="2" s="1"/>
  <c r="G13" i="2"/>
  <c r="E13" i="2" s="1"/>
  <c r="G14" i="2"/>
  <c r="E14" i="2" s="1"/>
  <c r="G15" i="2"/>
  <c r="E15" i="2" s="1"/>
  <c r="G16" i="2"/>
  <c r="E16" i="2" s="1"/>
  <c r="G17" i="2"/>
  <c r="E17" i="2" s="1"/>
  <c r="G18" i="2"/>
  <c r="E18" i="2" s="1"/>
  <c r="G19" i="2"/>
  <c r="E19" i="2" s="1"/>
  <c r="G20" i="2"/>
  <c r="E20" i="2" s="1"/>
  <c r="G21" i="2"/>
  <c r="E21" i="2" s="1"/>
  <c r="G9" i="2"/>
  <c r="E9" i="2" s="1"/>
  <c r="C7" i="2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I46" i="7" l="1"/>
  <c r="AA45" i="7"/>
  <c r="AA46" i="7"/>
  <c r="I45" i="7"/>
  <c r="I44" i="7"/>
  <c r="I43" i="7"/>
  <c r="P43" i="7"/>
  <c r="Y45" i="7"/>
  <c r="J45" i="7"/>
  <c r="S43" i="7"/>
  <c r="Z44" i="7"/>
  <c r="K43" i="7"/>
  <c r="Q45" i="7"/>
  <c r="S45" i="7"/>
  <c r="P44" i="7"/>
  <c r="H46" i="7"/>
  <c r="H45" i="7"/>
  <c r="Z43" i="7"/>
  <c r="S46" i="7"/>
  <c r="X44" i="7"/>
  <c r="S44" i="7"/>
  <c r="R46" i="7"/>
  <c r="Q43" i="7"/>
  <c r="J44" i="7"/>
  <c r="X46" i="7"/>
  <c r="R44" i="7"/>
  <c r="Y46" i="7"/>
  <c r="R43" i="7"/>
  <c r="Q44" i="7"/>
  <c r="AE27" i="7"/>
  <c r="AB64" i="7"/>
  <c r="K44" i="7"/>
  <c r="K45" i="7"/>
  <c r="X45" i="7"/>
  <c r="X43" i="7"/>
  <c r="R45" i="7"/>
  <c r="P46" i="7"/>
  <c r="J46" i="7"/>
  <c r="Z45" i="7"/>
  <c r="Y43" i="7"/>
  <c r="Y44" i="7"/>
  <c r="K46" i="7"/>
  <c r="Q46" i="7"/>
  <c r="Z46" i="7"/>
  <c r="J43" i="7"/>
  <c r="P45" i="7"/>
  <c r="H44" i="7"/>
  <c r="H43" i="7"/>
  <c r="AA44" i="7"/>
  <c r="AA43" i="7"/>
  <c r="L24" i="8"/>
  <c r="O26" i="7" l="1"/>
  <c r="T26" i="7" s="1"/>
  <c r="G26" i="7"/>
  <c r="L26" i="7" s="1"/>
  <c r="W26" i="7"/>
  <c r="AB26" i="7" s="1"/>
  <c r="Q24" i="8"/>
  <c r="L23" i="8"/>
  <c r="L57" i="8" s="1"/>
  <c r="G25" i="7" l="1"/>
  <c r="L25" i="7" s="1"/>
  <c r="O25" i="7"/>
  <c r="T25" i="7" s="1"/>
  <c r="W25" i="7"/>
  <c r="Q23" i="8"/>
  <c r="Q57" i="8" s="1"/>
  <c r="L22" i="8"/>
  <c r="O24" i="7" l="1"/>
  <c r="T24" i="7" s="1"/>
  <c r="G24" i="7"/>
  <c r="L24" i="7" s="1"/>
  <c r="T63" i="7"/>
  <c r="O63" i="7"/>
  <c r="L63" i="7"/>
  <c r="G63" i="7"/>
  <c r="AB25" i="7"/>
  <c r="W63" i="7"/>
  <c r="W24" i="7"/>
  <c r="AB24" i="7" s="1"/>
  <c r="Q22" i="8"/>
  <c r="L21" i="8"/>
  <c r="O23" i="7" l="1"/>
  <c r="T23" i="7" s="1"/>
  <c r="G23" i="7"/>
  <c r="L23" i="7" s="1"/>
  <c r="AE26" i="7"/>
  <c r="AB63" i="7"/>
  <c r="W23" i="7"/>
  <c r="AB23" i="7" s="1"/>
  <c r="Q21" i="8"/>
  <c r="L20" i="8"/>
  <c r="L56" i="8" s="1"/>
  <c r="G22" i="7" l="1"/>
  <c r="L22" i="7" s="1"/>
  <c r="O22" i="7"/>
  <c r="T22" i="7" s="1"/>
  <c r="W22" i="7"/>
  <c r="Q20" i="8"/>
  <c r="Q56" i="8" s="1"/>
  <c r="L19" i="8"/>
  <c r="O21" i="7" l="1"/>
  <c r="T21" i="7" s="1"/>
  <c r="G21" i="7"/>
  <c r="L21" i="7" s="1"/>
  <c r="T62" i="7"/>
  <c r="O62" i="7"/>
  <c r="L62" i="7"/>
  <c r="G62" i="7"/>
  <c r="AB22" i="7"/>
  <c r="W62" i="7"/>
  <c r="W21" i="7"/>
  <c r="AB21" i="7" s="1"/>
  <c r="Q19" i="8"/>
  <c r="L18" i="8"/>
  <c r="L55" i="8" s="1"/>
  <c r="G20" i="7" l="1"/>
  <c r="L20" i="7" s="1"/>
  <c r="O20" i="7"/>
  <c r="T20" i="7" s="1"/>
  <c r="AE25" i="7"/>
  <c r="AB62" i="7"/>
  <c r="W20" i="7"/>
  <c r="Q18" i="8"/>
  <c r="Q55" i="8" s="1"/>
  <c r="L17" i="8"/>
  <c r="L54" i="8" s="1"/>
  <c r="G19" i="7" l="1"/>
  <c r="L19" i="7" s="1"/>
  <c r="O19" i="7"/>
  <c r="T19" i="7" s="1"/>
  <c r="AB20" i="7"/>
  <c r="W61" i="7"/>
  <c r="T61" i="7"/>
  <c r="O61" i="7"/>
  <c r="L61" i="7"/>
  <c r="G61" i="7"/>
  <c r="W19" i="7"/>
  <c r="Q17" i="8"/>
  <c r="L33" i="8"/>
  <c r="L40" i="8" s="1"/>
  <c r="L14" i="8"/>
  <c r="L53" i="8" s="1"/>
  <c r="Q33" i="8" l="1"/>
  <c r="Q54" i="8"/>
  <c r="G60" i="7"/>
  <c r="G16" i="7"/>
  <c r="L16" i="7" s="1"/>
  <c r="O16" i="7"/>
  <c r="T16" i="7" s="1"/>
  <c r="W35" i="7"/>
  <c r="W60" i="7"/>
  <c r="O35" i="7"/>
  <c r="O60" i="7"/>
  <c r="AE24" i="7"/>
  <c r="AB61" i="7"/>
  <c r="G35" i="7"/>
  <c r="W16" i="7"/>
  <c r="AB19" i="7"/>
  <c r="AB60" i="7" s="1"/>
  <c r="Q14" i="8"/>
  <c r="Q53" i="8" s="1"/>
  <c r="L13" i="8"/>
  <c r="L52" i="8" s="1"/>
  <c r="Q40" i="8" l="1"/>
  <c r="O46" i="7"/>
  <c r="G46" i="7"/>
  <c r="G15" i="7"/>
  <c r="L15" i="7" s="1"/>
  <c r="O15" i="7"/>
  <c r="T15" i="7" s="1"/>
  <c r="W46" i="7"/>
  <c r="L35" i="7"/>
  <c r="L60" i="7"/>
  <c r="L46" i="7" s="1"/>
  <c r="T59" i="7"/>
  <c r="O59" i="7"/>
  <c r="L59" i="7"/>
  <c r="G59" i="7"/>
  <c r="AB16" i="7"/>
  <c r="W59" i="7"/>
  <c r="T35" i="7"/>
  <c r="T60" i="7"/>
  <c r="AE23" i="7"/>
  <c r="AB35" i="7"/>
  <c r="AB46" i="7" s="1"/>
  <c r="W15" i="7"/>
  <c r="G58" i="7"/>
  <c r="Q13" i="8"/>
  <c r="L32" i="8"/>
  <c r="L39" i="8" s="1"/>
  <c r="L12" i="8"/>
  <c r="L51" i="8" s="1"/>
  <c r="Q32" i="8" l="1"/>
  <c r="Q52" i="8"/>
  <c r="T46" i="7"/>
  <c r="W34" i="7"/>
  <c r="W58" i="7"/>
  <c r="W45" i="7" s="1"/>
  <c r="AE35" i="7"/>
  <c r="AE46" i="7" s="1"/>
  <c r="O34" i="7"/>
  <c r="O58" i="7"/>
  <c r="O45" i="7" s="1"/>
  <c r="AE22" i="7"/>
  <c r="AB59" i="7"/>
  <c r="G34" i="7"/>
  <c r="G45" i="7" s="1"/>
  <c r="O14" i="7"/>
  <c r="G14" i="7"/>
  <c r="W14" i="7"/>
  <c r="AB15" i="7"/>
  <c r="AB58" i="7" s="1"/>
  <c r="Q12" i="8"/>
  <c r="Q51" i="8" s="1"/>
  <c r="L11" i="8"/>
  <c r="L50" i="8" s="1"/>
  <c r="Q39" i="8" l="1"/>
  <c r="AB14" i="7"/>
  <c r="W57" i="7"/>
  <c r="T14" i="7"/>
  <c r="T57" i="7" s="1"/>
  <c r="O57" i="7"/>
  <c r="T34" i="7"/>
  <c r="T58" i="7"/>
  <c r="L14" i="7"/>
  <c r="L57" i="7" s="1"/>
  <c r="G57" i="7"/>
  <c r="L34" i="7"/>
  <c r="L58" i="7"/>
  <c r="AE21" i="7"/>
  <c r="AB34" i="7"/>
  <c r="AB45" i="7" s="1"/>
  <c r="W13" i="7"/>
  <c r="O13" i="7"/>
  <c r="G13" i="7"/>
  <c r="Q11" i="8"/>
  <c r="Q50" i="8" s="1"/>
  <c r="L10" i="8"/>
  <c r="L49" i="8" s="1"/>
  <c r="L45" i="7" l="1"/>
  <c r="T45" i="7"/>
  <c r="L13" i="7"/>
  <c r="L56" i="7" s="1"/>
  <c r="G56" i="7"/>
  <c r="T13" i="7"/>
  <c r="T56" i="7" s="1"/>
  <c r="O56" i="7"/>
  <c r="AB13" i="7"/>
  <c r="W56" i="7"/>
  <c r="AE34" i="7"/>
  <c r="AE45" i="7" s="1"/>
  <c r="AE20" i="7"/>
  <c r="AB57" i="7"/>
  <c r="W12" i="7"/>
  <c r="O12" i="7"/>
  <c r="G12" i="7"/>
  <c r="Q10" i="8"/>
  <c r="L31" i="8"/>
  <c r="L38" i="8" s="1"/>
  <c r="L9" i="8"/>
  <c r="L48" i="8" s="1"/>
  <c r="Q31" i="8" l="1"/>
  <c r="Q49" i="8"/>
  <c r="G33" i="7"/>
  <c r="G55" i="7"/>
  <c r="AE19" i="7"/>
  <c r="AB56" i="7"/>
  <c r="O33" i="7"/>
  <c r="O55" i="7"/>
  <c r="W33" i="7"/>
  <c r="W55" i="7"/>
  <c r="W44" i="7" s="1"/>
  <c r="L12" i="7"/>
  <c r="T12" i="7"/>
  <c r="O11" i="7"/>
  <c r="G11" i="7"/>
  <c r="W11" i="7"/>
  <c r="AB12" i="7"/>
  <c r="AB55" i="7" s="1"/>
  <c r="Q9" i="8"/>
  <c r="Q48" i="8" s="1"/>
  <c r="L8" i="8"/>
  <c r="L47" i="8" s="1"/>
  <c r="Q38" i="8" l="1"/>
  <c r="G44" i="7"/>
  <c r="O44" i="7"/>
  <c r="AB11" i="7"/>
  <c r="W54" i="7"/>
  <c r="L11" i="7"/>
  <c r="L54" i="7" s="1"/>
  <c r="G54" i="7"/>
  <c r="T11" i="7"/>
  <c r="T54" i="7" s="1"/>
  <c r="O54" i="7"/>
  <c r="T33" i="7"/>
  <c r="T55" i="7"/>
  <c r="L33" i="7"/>
  <c r="L55" i="7"/>
  <c r="L44" i="7" s="1"/>
  <c r="AE18" i="7"/>
  <c r="AB33" i="7"/>
  <c r="AB44" i="7" s="1"/>
  <c r="W10" i="7"/>
  <c r="O10" i="7"/>
  <c r="G10" i="7"/>
  <c r="Q8" i="8"/>
  <c r="Q47" i="8" s="1"/>
  <c r="L7" i="8"/>
  <c r="L46" i="8" s="1"/>
  <c r="T44" i="7" l="1"/>
  <c r="T10" i="7"/>
  <c r="T53" i="7" s="1"/>
  <c r="O53" i="7"/>
  <c r="L10" i="7"/>
  <c r="L53" i="7" s="1"/>
  <c r="G53" i="7"/>
  <c r="AE33" i="7"/>
  <c r="AE44" i="7" s="1"/>
  <c r="AB10" i="7"/>
  <c r="W53" i="7"/>
  <c r="AE17" i="7"/>
  <c r="AB54" i="7"/>
  <c r="G9" i="7"/>
  <c r="O9" i="7"/>
  <c r="W9" i="7"/>
  <c r="Q7" i="8"/>
  <c r="Q46" i="8" s="1"/>
  <c r="L6" i="8"/>
  <c r="L45" i="8" s="1"/>
  <c r="AB9" i="7" l="1"/>
  <c r="W52" i="7"/>
  <c r="AE16" i="7"/>
  <c r="AB53" i="7"/>
  <c r="T9" i="7"/>
  <c r="T52" i="7" s="1"/>
  <c r="O52" i="7"/>
  <c r="L9" i="7"/>
  <c r="L52" i="7" s="1"/>
  <c r="G52" i="7"/>
  <c r="O8" i="7"/>
  <c r="G8" i="7"/>
  <c r="W8" i="7"/>
  <c r="Q6" i="8"/>
  <c r="Q45" i="8" s="1"/>
  <c r="L5" i="8"/>
  <c r="L30" i="8" l="1"/>
  <c r="L44" i="8"/>
  <c r="AB8" i="7"/>
  <c r="W51" i="7"/>
  <c r="L8" i="7"/>
  <c r="L51" i="7" s="1"/>
  <c r="G51" i="7"/>
  <c r="T8" i="7"/>
  <c r="T51" i="7" s="1"/>
  <c r="O51" i="7"/>
  <c r="AE15" i="7"/>
  <c r="AB52" i="7"/>
  <c r="W7" i="7"/>
  <c r="W28" i="7" s="1"/>
  <c r="O7" i="7"/>
  <c r="G7" i="7"/>
  <c r="G28" i="7" s="1"/>
  <c r="Q5" i="8"/>
  <c r="L26" i="8"/>
  <c r="Q30" i="8" l="1"/>
  <c r="Q44" i="8"/>
  <c r="L37" i="8"/>
  <c r="O50" i="7"/>
  <c r="O28" i="7"/>
  <c r="G32" i="7"/>
  <c r="G50" i="7"/>
  <c r="W32" i="7"/>
  <c r="W50" i="7"/>
  <c r="AE14" i="7"/>
  <c r="AB51" i="7"/>
  <c r="T7" i="7"/>
  <c r="T28" i="7" s="1"/>
  <c r="O32" i="7"/>
  <c r="L7" i="7"/>
  <c r="L28" i="7" s="1"/>
  <c r="AB7" i="7"/>
  <c r="Q26" i="8"/>
  <c r="W43" i="7" l="1"/>
  <c r="Q37" i="8"/>
  <c r="G43" i="7"/>
  <c r="O43" i="7"/>
  <c r="AB50" i="7"/>
  <c r="AB28" i="7"/>
  <c r="T32" i="7"/>
  <c r="T50" i="7"/>
  <c r="T43" i="7" s="1"/>
  <c r="L32" i="7"/>
  <c r="L50" i="7"/>
  <c r="AE13" i="7"/>
  <c r="AE28" i="7" s="1"/>
  <c r="AB32" i="7"/>
  <c r="T39" i="7"/>
  <c r="D11" i="11" s="1"/>
  <c r="T37" i="7"/>
  <c r="L37" i="7"/>
  <c r="D12" i="11" l="1"/>
  <c r="D18" i="11"/>
  <c r="D21" i="11" s="1"/>
  <c r="L43" i="7"/>
  <c r="AB43" i="7"/>
  <c r="AE32" i="7"/>
  <c r="L39" i="7"/>
  <c r="C11" i="11" s="1"/>
  <c r="C12" i="11" l="1"/>
  <c r="C18" i="11"/>
  <c r="C21" i="11" s="1"/>
  <c r="D19" i="11"/>
  <c r="D20" i="11"/>
  <c r="AE43" i="7"/>
  <c r="C20" i="11" l="1"/>
  <c r="C19" i="11"/>
</calcChain>
</file>

<file path=xl/sharedStrings.xml><?xml version="1.0" encoding="utf-8"?>
<sst xmlns="http://schemas.openxmlformats.org/spreadsheetml/2006/main" count="234" uniqueCount="64">
  <si>
    <t>Premium</t>
  </si>
  <si>
    <t>give</t>
  </si>
  <si>
    <t>on-leveled Prem</t>
  </si>
  <si>
    <t>AY</t>
  </si>
  <si>
    <t>15 Year Total</t>
  </si>
  <si>
    <t>Wtd Avg</t>
  </si>
  <si>
    <t>OLF</t>
  </si>
  <si>
    <t>Trend</t>
  </si>
  <si>
    <t>Agg Layer</t>
  </si>
  <si>
    <t>Participation Shares</t>
  </si>
  <si>
    <t>On-Level Premium</t>
  </si>
  <si>
    <t>Annual Average</t>
  </si>
  <si>
    <t>Annual CV</t>
  </si>
  <si>
    <t>Model</t>
  </si>
  <si>
    <t>Trended</t>
  </si>
  <si>
    <t>Nominal</t>
  </si>
  <si>
    <t>Exposure Trended</t>
  </si>
  <si>
    <t>Trend Factor</t>
  </si>
  <si>
    <t>Selected Rate on Line</t>
  </si>
  <si>
    <t>Final Selections</t>
  </si>
  <si>
    <t>N/A</t>
  </si>
  <si>
    <t>Selected</t>
  </si>
  <si>
    <t>Retention</t>
  </si>
  <si>
    <t>Limit</t>
  </si>
  <si>
    <t>Experience</t>
  </si>
  <si>
    <t>Occ Retention</t>
  </si>
  <si>
    <t>Occ Limit</t>
  </si>
  <si>
    <t>Agg Retention</t>
  </si>
  <si>
    <t>Agg Limit</t>
  </si>
  <si>
    <t>Occ Layer 1</t>
  </si>
  <si>
    <t>Occ Layer 2</t>
  </si>
  <si>
    <t>Reinstatements</t>
  </si>
  <si>
    <t>1 @ 100%</t>
  </si>
  <si>
    <t>Selected Deposit Premium</t>
  </si>
  <si>
    <t>Selected Ceded Deposit Loss Ratio</t>
  </si>
  <si>
    <t>Aggregate Layer</t>
  </si>
  <si>
    <t>All Perils</t>
  </si>
  <si>
    <t>To/Hail</t>
  </si>
  <si>
    <t>EQ+FF</t>
  </si>
  <si>
    <t>Wint Strm</t>
  </si>
  <si>
    <t>Wildfire</t>
  </si>
  <si>
    <t>HU</t>
  </si>
  <si>
    <t>Aggregate Layer Adjusted Loss</t>
  </si>
  <si>
    <t>Average Annual Layer Loss</t>
  </si>
  <si>
    <t>Average Annual Layer CV</t>
  </si>
  <si>
    <t># of Years</t>
  </si>
  <si>
    <t>Occurrence Layer 1</t>
  </si>
  <si>
    <t>Occurrence Layer 2</t>
  </si>
  <si>
    <t>CV Calc</t>
  </si>
  <si>
    <t>Adjusted Occurrence Loss</t>
  </si>
  <si>
    <t>Adjusted Occurrence Loss Subject to Aggregate Layer</t>
  </si>
  <si>
    <t>Trended Average Gross CV</t>
  </si>
  <si>
    <t>Trended Average Gross Loss</t>
  </si>
  <si>
    <t>Subject Large Losses</t>
  </si>
  <si>
    <t>Profit Load (%)</t>
  </si>
  <si>
    <t>Additional Adjustment Factor (1.x)</t>
  </si>
  <si>
    <t>Loss on Line</t>
  </si>
  <si>
    <t>Selected Rate on Subject EP</t>
  </si>
  <si>
    <t>UW Expense (%)</t>
  </si>
  <si>
    <t>Acquisition Expense (%)</t>
  </si>
  <si>
    <t>Nominal Average Gross Loss</t>
  </si>
  <si>
    <t>Nominal Average Gross CV</t>
  </si>
  <si>
    <t>Annual Loss Trend</t>
  </si>
  <si>
    <r>
      <t>Selected Layer Loss</t>
    </r>
    <r>
      <rPr>
        <i/>
        <sz val="11"/>
        <color theme="1"/>
        <rFont val="Calibri"/>
        <family val="2"/>
        <scheme val="minor"/>
      </rPr>
      <t xml:space="preserve"> (prior sheet)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</si>
</sst>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* #,##0.0_);_(* \(#,##0.0\);_(* &quot;-&quot;??_);_(@_)"/>
    <numFmt numFmtId="167" formatCode="0.000%"/>
    <numFmt numFmtId="168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1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6" fillId="0" borderId="0"/>
  </cellStyleXfs>
  <cellXfs count="45">
    <xf numFmtId="0" fontId="0" fillId="0" borderId="0" xfId="0"/>
    <xf numFmtId="0" fontId="0" fillId="0" borderId="0" xfId="0" applyAlignment="1">
      <alignment horizontal="right"/>
    </xf>
    <xf numFmtId="9" fontId="0" fillId="0" borderId="0" xfId="0" applyNumberFormat="1"/>
    <xf numFmtId="3" fontId="0" fillId="0" borderId="0" xfId="0" applyNumberFormat="1"/>
    <xf numFmtId="164" fontId="0" fillId="0" borderId="0" xfId="0" applyNumberFormat="1"/>
    <xf numFmtId="2" fontId="0" fillId="0" borderId="0" xfId="0" applyNumberFormat="1"/>
    <xf numFmtId="9" fontId="0" fillId="0" borderId="0" xfId="2" applyFont="1"/>
    <xf numFmtId="164" fontId="0" fillId="0" borderId="2" xfId="0" applyNumberFormat="1" applyBorder="1"/>
    <xf numFmtId="0" fontId="0" fillId="0" borderId="2" xfId="0" applyBorder="1" applyAlignment="1">
      <alignment horizontal="right"/>
    </xf>
    <xf numFmtId="164" fontId="0" fillId="0" borderId="0" xfId="1" applyNumberFormat="1" applyFont="1"/>
    <xf numFmtId="0" fontId="0" fillId="15" borderId="0" xfId="0" applyFill="1"/>
    <xf numFmtId="0" fontId="7" fillId="0" borderId="0" xfId="0" applyFont="1"/>
    <xf numFmtId="165" fontId="0" fillId="0" borderId="0" xfId="1" applyNumberFormat="1" applyFont="1"/>
    <xf numFmtId="164" fontId="0" fillId="0" borderId="0" xfId="1" applyNumberFormat="1" applyFont="1" applyFill="1"/>
    <xf numFmtId="0" fontId="0" fillId="0" borderId="0" xfId="1" applyNumberFormat="1" applyFont="1"/>
    <xf numFmtId="0" fontId="8" fillId="16" borderId="0" xfId="0" applyFont="1" applyFill="1"/>
    <xf numFmtId="0" fontId="8" fillId="16" borderId="0" xfId="0" applyFont="1" applyFill="1" applyAlignment="1">
      <alignment horizontal="centerContinuous"/>
    </xf>
    <xf numFmtId="0" fontId="8" fillId="16" borderId="0" xfId="0" applyFont="1" applyFill="1" applyAlignment="1">
      <alignment horizontal="center"/>
    </xf>
    <xf numFmtId="0" fontId="8" fillId="16" borderId="0" xfId="0" applyFont="1" applyFill="1" applyAlignment="1">
      <alignment horizontal="right"/>
    </xf>
    <xf numFmtId="9" fontId="8" fillId="16" borderId="0" xfId="0" applyNumberFormat="1" applyFont="1" applyFill="1" applyAlignment="1">
      <alignment horizontal="right"/>
    </xf>
    <xf numFmtId="0" fontId="8" fillId="17" borderId="0" xfId="0" applyFont="1" applyFill="1"/>
    <xf numFmtId="0" fontId="0" fillId="0" borderId="0" xfId="0" quotePrefix="1"/>
    <xf numFmtId="164" fontId="0" fillId="0" borderId="0" xfId="1" applyNumberFormat="1" applyFont="1" applyAlignment="1">
      <alignment horizontal="right"/>
    </xf>
    <xf numFmtId="164" fontId="0" fillId="0" borderId="0" xfId="1" applyNumberFormat="1" applyFont="1" applyFill="1" applyAlignment="1">
      <alignment horizontal="right"/>
    </xf>
    <xf numFmtId="164" fontId="7" fillId="0" borderId="0" xfId="0" applyNumberFormat="1" applyFont="1"/>
    <xf numFmtId="0" fontId="8" fillId="17" borderId="0" xfId="0" applyFont="1" applyFill="1" applyAlignment="1">
      <alignment horizontal="centerContinuous"/>
    </xf>
    <xf numFmtId="0" fontId="7" fillId="0" borderId="2" xfId="0" applyFont="1" applyBorder="1" applyAlignment="1">
      <alignment horizontal="right"/>
    </xf>
    <xf numFmtId="164" fontId="7" fillId="0" borderId="2" xfId="0" applyNumberFormat="1" applyFont="1" applyBorder="1"/>
    <xf numFmtId="167" fontId="0" fillId="0" borderId="0" xfId="2" applyNumberFormat="1" applyFont="1"/>
    <xf numFmtId="9" fontId="8" fillId="16" borderId="0" xfId="0" applyNumberFormat="1" applyFont="1" applyFill="1" applyAlignment="1">
      <alignment horizontal="center"/>
    </xf>
    <xf numFmtId="0" fontId="0" fillId="18" borderId="0" xfId="0" applyFill="1"/>
    <xf numFmtId="9" fontId="9" fillId="19" borderId="3" xfId="2" applyFont="1" applyFill="1" applyBorder="1"/>
    <xf numFmtId="9" fontId="9" fillId="19" borderId="4" xfId="2" applyFont="1" applyFill="1" applyBorder="1"/>
    <xf numFmtId="9" fontId="9" fillId="19" borderId="5" xfId="2" applyFont="1" applyFill="1" applyBorder="1"/>
    <xf numFmtId="9" fontId="9" fillId="19" borderId="6" xfId="2" applyFont="1" applyFill="1" applyBorder="1"/>
    <xf numFmtId="9" fontId="9" fillId="19" borderId="7" xfId="2" applyFont="1" applyFill="1" applyBorder="1"/>
    <xf numFmtId="164" fontId="9" fillId="19" borderId="5" xfId="0" applyNumberFormat="1" applyFont="1" applyFill="1" applyBorder="1"/>
    <xf numFmtId="164" fontId="10" fillId="20" borderId="0" xfId="0" applyNumberFormat="1" applyFont="1" applyFill="1"/>
    <xf numFmtId="166" fontId="9" fillId="19" borderId="6" xfId="1" applyNumberFormat="1" applyFont="1" applyFill="1" applyBorder="1"/>
    <xf numFmtId="168" fontId="9" fillId="19" borderId="6" xfId="2" applyNumberFormat="1" applyFont="1" applyFill="1" applyBorder="1"/>
    <xf numFmtId="164" fontId="9" fillId="19" borderId="7" xfId="1" applyNumberFormat="1" applyFont="1" applyFill="1" applyBorder="1"/>
    <xf numFmtId="164" fontId="9" fillId="19" borderId="9" xfId="1" applyNumberFormat="1" applyFont="1" applyFill="1" applyBorder="1"/>
    <xf numFmtId="164" fontId="9" fillId="19" borderId="10" xfId="1" applyNumberFormat="1" applyFont="1" applyFill="1" applyBorder="1"/>
    <xf numFmtId="164" fontId="9" fillId="19" borderId="11" xfId="1" applyNumberFormat="1" applyFont="1" applyFill="1" applyBorder="1"/>
    <xf numFmtId="164" fontId="9" fillId="19" borderId="8" xfId="1" applyNumberFormat="1" applyFont="1" applyFill="1" applyBorder="1"/>
  </cellXfs>
  <cellStyles count="129">
    <cellStyle name="20% - Accent1 2" xfId="7" xr:uid="{07153C50-7D4B-4C4E-9836-EB017CE94F39}"/>
    <cellStyle name="20% - Accent1 3" xfId="8" xr:uid="{E7E23E8C-28F1-406D-B70A-0BAA70121B29}"/>
    <cellStyle name="20% - Accent1 4" xfId="9" xr:uid="{7B237B49-9A94-4900-919B-C3B2409208D9}"/>
    <cellStyle name="20% - Accent1 5" xfId="10" xr:uid="{8608B4A3-94EC-4E02-BF10-F6A11FAEE3F1}"/>
    <cellStyle name="20% - Accent1 6" xfId="11" xr:uid="{E747A9AA-BA03-4399-BDE4-84323D197630}"/>
    <cellStyle name="20% - Accent2 2" xfId="12" xr:uid="{1C40237C-F92C-4C37-935F-4A0F06536B07}"/>
    <cellStyle name="20% - Accent2 3" xfId="13" xr:uid="{D7B12A6E-370A-4AF4-A2DB-906D51F3A6A7}"/>
    <cellStyle name="20% - Accent2 4" xfId="14" xr:uid="{79C664B3-8650-4662-80A0-1FB4CC62850F}"/>
    <cellStyle name="20% - Accent2 5" xfId="15" xr:uid="{A873B17B-658C-472C-B9C3-DAD92CFE22D3}"/>
    <cellStyle name="20% - Accent2 6" xfId="16" xr:uid="{BE7EA699-CEFA-4A07-B8A0-9B543D2AAE4D}"/>
    <cellStyle name="20% - Accent3 2" xfId="17" xr:uid="{DF5110E8-60BA-4AD0-8120-5AB4FD7EDF8D}"/>
    <cellStyle name="20% - Accent3 3" xfId="18" xr:uid="{51BD80B1-F05A-44DC-A17B-ED188A7D9A2C}"/>
    <cellStyle name="20% - Accent3 4" xfId="19" xr:uid="{3D8FC9FA-9FBF-40D9-9529-E175445DA6E2}"/>
    <cellStyle name="20% - Accent3 5" xfId="20" xr:uid="{3026017E-306B-47BD-BC12-A8AC51129732}"/>
    <cellStyle name="20% - Accent3 6" xfId="21" xr:uid="{9BDDF102-21C8-486D-AFBD-91B2F48E9D0F}"/>
    <cellStyle name="20% - Accent4 2" xfId="22" xr:uid="{058925DD-BF2C-4F67-A71D-4DAE3B393340}"/>
    <cellStyle name="20% - Accent4 3" xfId="23" xr:uid="{3012C31C-A61F-4903-9262-A435B726E357}"/>
    <cellStyle name="20% - Accent5 2" xfId="24" xr:uid="{3CE767F9-17A5-43F3-8064-7345DE188CBD}"/>
    <cellStyle name="20% - Accent5 3" xfId="25" xr:uid="{3D0BECD1-AAD9-4B4D-88FA-F183C53287CA}"/>
    <cellStyle name="20% - Accent5 4" xfId="26" xr:uid="{D7C28974-3C7B-4885-84FD-7B57F2536CB6}"/>
    <cellStyle name="20% - Accent5 5" xfId="27" xr:uid="{413F9C3B-CACB-4CA3-A597-2ECBE100EE8E}"/>
    <cellStyle name="20% - Accent5 6" xfId="28" xr:uid="{036F0661-0DD3-4575-8D37-26C24E911372}"/>
    <cellStyle name="20% - Accent6 2" xfId="29" xr:uid="{885AA169-8B38-4A1A-A2CE-B0A00A88CB0C}"/>
    <cellStyle name="20% - Accent6 3" xfId="30" xr:uid="{53C61417-8448-45BC-8710-7F25FB3D9476}"/>
    <cellStyle name="20% - Accent6 4" xfId="31" xr:uid="{D621058B-8AE5-434E-B119-60B736D66D8A}"/>
    <cellStyle name="20% - Accent6 5" xfId="32" xr:uid="{F17C977E-C010-41B8-8CE6-5BA556123E78}"/>
    <cellStyle name="20% - Accent6 6" xfId="33" xr:uid="{21F426F5-5D72-4FF8-BD83-7B95A3AD5906}"/>
    <cellStyle name="40% - Accent1 2" xfId="34" xr:uid="{9081148D-3718-4BBA-8A45-AE60B128DF77}"/>
    <cellStyle name="40% - Accent1 3" xfId="35" xr:uid="{A6C80404-3899-405F-8182-C7329F165D7E}"/>
    <cellStyle name="40% - Accent1 4" xfId="36" xr:uid="{1B196829-1D13-409C-955C-1AC4ACF738F3}"/>
    <cellStyle name="40% - Accent1 5" xfId="37" xr:uid="{38E6D68D-208A-40CA-810A-7D329E07638F}"/>
    <cellStyle name="40% - Accent1 6" xfId="38" xr:uid="{6E5D9CAD-196B-4759-908C-B70E62C3CEFD}"/>
    <cellStyle name="40% - Accent2 2" xfId="39" xr:uid="{1AF14754-9984-4F53-9EBA-AD0AC6FE8994}"/>
    <cellStyle name="40% - Accent2 3" xfId="40" xr:uid="{9E1845E2-A741-4DB6-AC99-244E51FB29A1}"/>
    <cellStyle name="40% - Accent2 4" xfId="41" xr:uid="{2FB745CF-E19E-46C5-8BD4-6961BE9CF57C}"/>
    <cellStyle name="40% - Accent2 5" xfId="42" xr:uid="{16ECF8D1-447A-4E39-8C9A-9668BE9024D7}"/>
    <cellStyle name="40% - Accent2 6" xfId="43" xr:uid="{8743C9C1-5DB9-414F-912B-91D1F3511A4F}"/>
    <cellStyle name="40% - Accent3 2" xfId="44" xr:uid="{9EC98003-B1BB-4015-B4EF-1331F67A95BC}"/>
    <cellStyle name="40% - Accent3 3" xfId="45" xr:uid="{0330997D-CA98-4E12-90DE-BF6A7D8B173A}"/>
    <cellStyle name="40% - Accent3 4" xfId="46" xr:uid="{5E1C9CC1-E9E0-4620-A696-A880A4049C88}"/>
    <cellStyle name="40% - Accent3 5" xfId="47" xr:uid="{405EDA13-75C1-4E57-A779-07D2A01B9213}"/>
    <cellStyle name="40% - Accent3 6" xfId="48" xr:uid="{85129C02-0098-46D2-8A80-AD2050806CFA}"/>
    <cellStyle name="40% - Accent4 2" xfId="49" xr:uid="{D7CD427F-CBDA-4C17-BBF4-E896B4BB69AC}"/>
    <cellStyle name="40% - Accent4 3" xfId="50" xr:uid="{F0DCD9F8-AA8F-488C-A6A0-DB04BB317918}"/>
    <cellStyle name="40% - Accent4 4" xfId="51" xr:uid="{EA0145FE-1B70-4C27-A29E-8463DEB34AE0}"/>
    <cellStyle name="40% - Accent4 5" xfId="52" xr:uid="{16DD1E63-8315-4EE1-ACBE-D016FA1D94EF}"/>
    <cellStyle name="40% - Accent4 6" xfId="53" xr:uid="{59C60405-042D-4CFD-B9B0-67C5075266D9}"/>
    <cellStyle name="40% - Accent5 2" xfId="54" xr:uid="{9F43B015-BF0E-4FC4-8BEB-25BB459A0E76}"/>
    <cellStyle name="40% - Accent5 3" xfId="55" xr:uid="{621657B1-D456-4EA5-ACA9-486FD1D1CD9E}"/>
    <cellStyle name="40% - Accent5 4" xfId="56" xr:uid="{88C6AD54-3F76-4552-8F93-EA9DF95CE38D}"/>
    <cellStyle name="40% - Accent5 5" xfId="57" xr:uid="{5279BE31-7DDF-4B2F-AF6A-9BB62A9C5778}"/>
    <cellStyle name="40% - Accent5 6" xfId="58" xr:uid="{D4570D66-EA92-4EF3-B215-693740C16521}"/>
    <cellStyle name="40% - Accent6 2" xfId="59" xr:uid="{8A8F8892-B956-42C7-9CCA-A173D14B9773}"/>
    <cellStyle name="40% - Accent6 3" xfId="60" xr:uid="{1681870A-57F1-45E8-8C56-50038A0E0F84}"/>
    <cellStyle name="40% - Accent6 4" xfId="61" xr:uid="{90E05A43-6ED3-4483-A091-ECF83311519C}"/>
    <cellStyle name="40% - Accent6 5" xfId="62" xr:uid="{E80C0507-0EC5-435D-86C1-642E27422274}"/>
    <cellStyle name="40% - Accent6 6" xfId="63" xr:uid="{49BC1FE6-2C99-42F1-8364-38DA5F328331}"/>
    <cellStyle name="Comma" xfId="1" builtinId="3"/>
    <cellStyle name="Comma 2" xfId="4" xr:uid="{313E96C8-7CB5-405F-8060-B792B54CC0FF}"/>
    <cellStyle name="Comma 2 10" xfId="64" xr:uid="{2FB982D1-41BD-42CD-9F57-22162B58E05E}"/>
    <cellStyle name="Comma 2 2" xfId="65" xr:uid="{FF0D1C64-C5DA-467F-8C0A-979737ED5CBB}"/>
    <cellStyle name="Comma 2 3" xfId="66" xr:uid="{E0FE7781-610F-4BC8-BAE4-E3B60C81151E}"/>
    <cellStyle name="Comma 2 4" xfId="67" xr:uid="{38614B2E-26B5-4425-92EA-02B278667CAD}"/>
    <cellStyle name="Comma 2 5" xfId="68" xr:uid="{3DFB7242-7435-43D3-AE92-8D99745BA73D}"/>
    <cellStyle name="Comma 2 6" xfId="69" xr:uid="{108496D6-DD19-4882-88C2-24754F6C2EE5}"/>
    <cellStyle name="Comma 2 7" xfId="70" xr:uid="{59905DE9-D7BD-4DD8-9692-100806122939}"/>
    <cellStyle name="Comma 2 8" xfId="71" xr:uid="{0FE7D106-7356-474D-B8DB-CDB01C92B394}"/>
    <cellStyle name="Comma 2 9" xfId="72" xr:uid="{88B24C10-F4F5-46C8-A938-9ED50A36C6BA}"/>
    <cellStyle name="Normal" xfId="0" builtinId="0"/>
    <cellStyle name="Normal 2" xfId="6" xr:uid="{AFB6E439-8F0D-4DAD-827F-B829AEC1F225}"/>
    <cellStyle name="Normal 2 2" xfId="73" xr:uid="{82FD530E-C636-4F16-B2A3-3352615E5861}"/>
    <cellStyle name="Normal 2 3" xfId="74" xr:uid="{4FA348E5-AEB1-4FF5-8205-8F57FAE8FAEE}"/>
    <cellStyle name="Normal 2 4" xfId="75" xr:uid="{3B92B1EE-338E-465A-98AC-60F836CB019E}"/>
    <cellStyle name="Normal 2 5" xfId="76" xr:uid="{E779F491-1613-418B-857F-DB079A547197}"/>
    <cellStyle name="Normal 3" xfId="77" xr:uid="{44E94082-99BD-48D4-8396-B823AA3B2F22}"/>
    <cellStyle name="Normal 3 2" xfId="128" xr:uid="{7B4F8203-7EB8-4A92-8CFB-E21BB8503E58}"/>
    <cellStyle name="Normal 4" xfId="3" xr:uid="{74373E65-CF95-4C46-B4DA-D7A143E3366C}"/>
    <cellStyle name="Normal 5" xfId="78" xr:uid="{CFD7E4EB-3139-426B-BFCB-EA2FD1A6F7D8}"/>
    <cellStyle name="Normal 5 2" xfId="79" xr:uid="{5385885D-5475-4DD7-AAA6-C1358BB7041B}"/>
    <cellStyle name="Normal 5 2 2" xfId="80" xr:uid="{3E1AD520-8E11-467D-94D3-214F907A6D0A}"/>
    <cellStyle name="Normal 5 2 3" xfId="81" xr:uid="{0858A382-7328-4F0C-B8B1-DD82CED3D7E8}"/>
    <cellStyle name="Normal 5 2 4" xfId="82" xr:uid="{0E6B22B0-E757-46C0-9D97-581ECCB10092}"/>
    <cellStyle name="Normal 5 2 5" xfId="83" xr:uid="{A7095658-0953-4FD1-9F9B-8A068577AB9F}"/>
    <cellStyle name="Normal 5 2 6" xfId="84" xr:uid="{2842E367-0B49-45B0-BD32-CFCDE5B5231B}"/>
    <cellStyle name="Normal 7" xfId="85" xr:uid="{907E9AD2-C639-462C-88C5-851D7EAE3BD0}"/>
    <cellStyle name="Note 2" xfId="86" xr:uid="{A5E7B0E3-482E-486A-A307-23BC6D140A81}"/>
    <cellStyle name="Note 2 2" xfId="87" xr:uid="{90FB3E68-AEBC-4677-BBEC-9BB585F6BC3C}"/>
    <cellStyle name="Note 2 2 2" xfId="88" xr:uid="{3D6D7C9E-654D-410D-A7DA-E47AC3222BEF}"/>
    <cellStyle name="Note 2 2 3" xfId="89" xr:uid="{B5C2CBD8-4A30-4E11-82DB-7150F673D23C}"/>
    <cellStyle name="Note 2 2 4" xfId="90" xr:uid="{AF9390DF-1C44-41CC-80FC-AE6780ACFE39}"/>
    <cellStyle name="Note 2 2 5" xfId="91" xr:uid="{8BF8672D-A902-4E23-ABC5-392570477D9A}"/>
    <cellStyle name="Note 2 2 6" xfId="92" xr:uid="{E9CA8701-D7BE-41C9-A8C9-029C10A6F0FA}"/>
    <cellStyle name="Note 2 3" xfId="93" xr:uid="{453A37AE-A318-4A50-8C5D-497A61D74224}"/>
    <cellStyle name="Note 2 4" xfId="94" xr:uid="{6FF3420E-B730-4274-8F0C-BD7841FC1670}"/>
    <cellStyle name="Note 2 5" xfId="95" xr:uid="{F219930C-4477-4EC0-BE70-CE2DF3E6F246}"/>
    <cellStyle name="Note 2 6" xfId="96" xr:uid="{7685CF4C-925D-4B09-97FF-59BD2473EF03}"/>
    <cellStyle name="Note 2 7" xfId="97" xr:uid="{7A6CB0C3-7DD0-440D-896B-DFC5D92255A0}"/>
    <cellStyle name="Note 3" xfId="98" xr:uid="{5EFF5D15-58DA-4CD3-8F35-F91325E6839E}"/>
    <cellStyle name="Note 3 2" xfId="99" xr:uid="{3A39C0BE-F825-4938-8325-49EA1F4B4629}"/>
    <cellStyle name="Note 3 2 2" xfId="100" xr:uid="{5CF32DC1-AB3E-4854-AEE3-B47B658BE14B}"/>
    <cellStyle name="Note 3 2 3" xfId="101" xr:uid="{80E9572A-0E28-409B-8F5D-78CFDB9B9B5D}"/>
    <cellStyle name="Note 3 2 4" xfId="102" xr:uid="{CDF748CA-94F0-4722-A87F-22292737C5BA}"/>
    <cellStyle name="Note 3 2 5" xfId="103" xr:uid="{FE1CD709-F615-4EAC-8781-838345C01736}"/>
    <cellStyle name="Note 3 2 6" xfId="104" xr:uid="{FDD72351-D646-405F-AFBC-7FB8CB4FEFE7}"/>
    <cellStyle name="Note 3 3" xfId="105" xr:uid="{3FE9BC8D-68C7-4CC5-BEE5-F43747DFB04A}"/>
    <cellStyle name="Note 3 4" xfId="106" xr:uid="{3C791CFC-5894-4B2D-8615-200943B0600B}"/>
    <cellStyle name="Note 3 5" xfId="107" xr:uid="{94E0F53B-21D3-49DA-8E07-8B25B32874FD}"/>
    <cellStyle name="Note 3 6" xfId="108" xr:uid="{1151C17A-E978-4894-A3E1-B5E8BE9D6C11}"/>
    <cellStyle name="Note 3 7" xfId="109" xr:uid="{02467523-2A39-43EE-BADA-C907210CF647}"/>
    <cellStyle name="Note 4" xfId="110" xr:uid="{925C5574-0BEB-4BE2-BC71-CE4503DE5289}"/>
    <cellStyle name="Note 4 2" xfId="111" xr:uid="{E36363D3-2FF7-471F-A202-15EED788D3C3}"/>
    <cellStyle name="Note 4 2 2" xfId="112" xr:uid="{785BC17E-2C02-445B-BF84-413B43A2C570}"/>
    <cellStyle name="Note 4 2 3" xfId="113" xr:uid="{F5CF3C60-D83E-4041-8DDB-29560430B446}"/>
    <cellStyle name="Note 4 2 4" xfId="114" xr:uid="{327E6034-80E8-4257-9A67-643411B64FE2}"/>
    <cellStyle name="Note 4 2 5" xfId="115" xr:uid="{62AB4D1E-8A71-4B57-AD86-20B04584B3E7}"/>
    <cellStyle name="Note 4 2 6" xfId="116" xr:uid="{DA90B265-7B9D-4B0C-8E50-6D1AF34A3E57}"/>
    <cellStyle name="Note 4 3" xfId="117" xr:uid="{9A7C4701-6482-41A1-837A-F2885D79716E}"/>
    <cellStyle name="Note 4 4" xfId="118" xr:uid="{C4FF984A-8229-44B2-9762-2EA3DE000C48}"/>
    <cellStyle name="Note 4 5" xfId="119" xr:uid="{3FDDAB35-D7BD-4907-981C-B23BA15FED1B}"/>
    <cellStyle name="Note 4 6" xfId="120" xr:uid="{1163419C-7A9C-4F1B-8811-77235D767D7D}"/>
    <cellStyle name="Note 4 7" xfId="121" xr:uid="{156878D2-34D1-4058-96A1-A96A57732D58}"/>
    <cellStyle name="Note 5" xfId="122" xr:uid="{8C31E9F2-C937-4CCC-A8E9-B2FF2475763C}"/>
    <cellStyle name="Note 5 2" xfId="123" xr:uid="{C09B46D3-5489-48E4-80E9-13A9DB58947E}"/>
    <cellStyle name="Note 5 3" xfId="124" xr:uid="{703FC7C1-06E8-4792-8D46-078621CDD8CA}"/>
    <cellStyle name="Note 5 4" xfId="125" xr:uid="{2BD23F60-1BEF-40D8-BF7F-B8D4854704FB}"/>
    <cellStyle name="Note 5 5" xfId="126" xr:uid="{5F3CBAD9-DA9D-41A0-9297-5D3867D56733}"/>
    <cellStyle name="Note 5 6" xfId="127" xr:uid="{F52AC268-3A2F-4268-95CC-E530F7B606B5}"/>
    <cellStyle name="Percent" xfId="2" builtinId="5"/>
    <cellStyle name="Percent 2" xfId="5" xr:uid="{DAEE6169-381C-42AF-8890-4B184A93D1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21</xdr:col>
      <xdr:colOff>541257</xdr:colOff>
      <xdr:row>38</xdr:row>
      <xdr:rowOff>145677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0FC1DA-A4F0-877C-5916-2843947B3B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845"/>
        <a:stretch/>
      </xdr:blipFill>
      <xdr:spPr>
        <a:xfrm>
          <a:off x="0" y="1"/>
          <a:ext cx="13248728" cy="7384676"/>
        </a:xfrm>
        <a:prstGeom prst="rect">
          <a:avLst/>
        </a:prstGeom>
      </xdr:spPr>
    </xdr:pic>
    <xdr:clientData/>
  </xdr:twoCellAnchor>
  <xdr:twoCellAnchor>
    <xdr:from>
      <xdr:col>6</xdr:col>
      <xdr:colOff>571500</xdr:colOff>
      <xdr:row>28</xdr:row>
      <xdr:rowOff>145678</xdr:rowOff>
    </xdr:from>
    <xdr:to>
      <xdr:col>15</xdr:col>
      <xdr:colOff>168088</xdr:colOff>
      <xdr:row>36</xdr:row>
      <xdr:rowOff>123266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29BE6C6-C269-4151-021E-54513B0A1283}"/>
            </a:ext>
          </a:extLst>
        </xdr:cNvPr>
        <xdr:cNvSpPr txBox="1"/>
      </xdr:nvSpPr>
      <xdr:spPr>
        <a:xfrm>
          <a:off x="4202206" y="5479678"/>
          <a:ext cx="5042647" cy="1501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3600" b="1">
              <a:solidFill>
                <a:schemeClr val="accent6"/>
              </a:solidFill>
              <a:latin typeface="Congenial Black" panose="020B0604020202020204" pitchFamily="2" charset="0"/>
            </a:rPr>
            <a:t>INTERACTIVE / ABBREVIATED STATISTICS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342304</xdr:colOff>
      <xdr:row>30</xdr:row>
      <xdr:rowOff>149860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DF195CE-6AF4-795A-A97C-D5FC4B02E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705504" cy="58648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35522-3AC1-4E85-A353-D0AAC5B7C203}">
  <sheetPr>
    <pageSetUpPr fitToPage="1"/>
  </sheetPr>
  <dimension ref="A1"/>
  <sheetViews>
    <sheetView tabSelected="1" zoomScale="85" zoomScaleNormal="85" workbookViewId="0">
      <selection activeCell="A5" sqref="A5"/>
    </sheetView>
  </sheetViews>
  <sheetFormatPr defaultRowHeight="15" x14ac:dyDescent="0.25"/>
  <cols>
    <col min="1" max="16384" width="9.140625" style="30"/>
  </cols>
  <sheetData/>
  <pageMargins left="0.7" right="0.7" top="0.75" bottom="0.75" header="0.3" footer="0.3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1E5CD-4538-46C8-B70D-7657DECF37A6}">
  <sheetPr>
    <pageSetUpPr fitToPage="1"/>
  </sheetPr>
  <dimension ref="B1:H32"/>
  <sheetViews>
    <sheetView showGridLines="0" zoomScaleNormal="100" workbookViewId="0"/>
  </sheetViews>
  <sheetFormatPr defaultRowHeight="15" x14ac:dyDescent="0.25"/>
  <cols>
    <col min="1" max="1" width="1.85546875" customWidth="1"/>
    <col min="2" max="2" width="12.140625" bestFit="1" customWidth="1"/>
    <col min="3" max="3" width="17.85546875" bestFit="1" customWidth="1"/>
    <col min="4" max="4" width="17.85546875" customWidth="1"/>
    <col min="5" max="5" width="6.140625" customWidth="1"/>
    <col min="6" max="6" width="12.140625" bestFit="1" customWidth="1"/>
    <col min="7" max="8" width="12.28515625" customWidth="1"/>
  </cols>
  <sheetData>
    <row r="1" spans="2:8" x14ac:dyDescent="0.25">
      <c r="B1" s="20" t="s">
        <v>0</v>
      </c>
      <c r="C1" s="20"/>
      <c r="D1" s="20"/>
      <c r="E1" s="20"/>
      <c r="F1" s="20"/>
      <c r="G1" s="20"/>
      <c r="H1" s="20"/>
    </row>
    <row r="3" spans="2:8" x14ac:dyDescent="0.25">
      <c r="B3" s="18"/>
      <c r="C3" s="19" t="s">
        <v>15</v>
      </c>
      <c r="D3" s="19" t="s">
        <v>16</v>
      </c>
      <c r="F3" s="18"/>
      <c r="G3" s="18" t="s">
        <v>21</v>
      </c>
      <c r="H3" s="18" t="s">
        <v>21</v>
      </c>
    </row>
    <row r="4" spans="2:8" x14ac:dyDescent="0.25">
      <c r="B4" s="18" t="s">
        <v>3</v>
      </c>
      <c r="C4" s="18" t="s">
        <v>10</v>
      </c>
      <c r="D4" s="18" t="s">
        <v>10</v>
      </c>
      <c r="F4" s="18" t="s">
        <v>3</v>
      </c>
      <c r="G4" s="18" t="s">
        <v>7</v>
      </c>
      <c r="H4" s="18" t="s">
        <v>17</v>
      </c>
    </row>
    <row r="5" spans="2:8" x14ac:dyDescent="0.25">
      <c r="B5">
        <v>2008</v>
      </c>
      <c r="C5" s="4">
        <v>82476414.624321878</v>
      </c>
      <c r="D5" s="4">
        <f>C5*H5</f>
        <v>122333089.41102326</v>
      </c>
      <c r="F5">
        <v>2008</v>
      </c>
      <c r="G5" s="31">
        <v>0.02</v>
      </c>
      <c r="H5" s="12">
        <f t="shared" ref="H5:H17" si="0">H6*(1+G5)</f>
        <v>1.483249362478323</v>
      </c>
    </row>
    <row r="6" spans="2:8" x14ac:dyDescent="0.25">
      <c r="B6">
        <f>B5+1</f>
        <v>2009</v>
      </c>
      <c r="C6" s="4">
        <v>89267505.970221177</v>
      </c>
      <c r="D6" s="4">
        <f t="shared" ref="D6:D19" si="1">C6*H6</f>
        <v>129809775.80427496</v>
      </c>
      <c r="F6">
        <f>F5+1</f>
        <v>2009</v>
      </c>
      <c r="G6" s="32">
        <v>0.02</v>
      </c>
      <c r="H6" s="12">
        <f t="shared" si="0"/>
        <v>1.4541660416454147</v>
      </c>
    </row>
    <row r="7" spans="2:8" x14ac:dyDescent="0.25">
      <c r="B7">
        <f t="shared" ref="B7:B19" si="2">B6+1</f>
        <v>2010</v>
      </c>
      <c r="C7" s="4">
        <v>95671644.6515183</v>
      </c>
      <c r="D7" s="4">
        <f t="shared" si="1"/>
        <v>136394565.49078929</v>
      </c>
      <c r="F7">
        <f t="shared" ref="F7:F20" si="3">F6+1</f>
        <v>2010</v>
      </c>
      <c r="G7" s="32">
        <v>0.02</v>
      </c>
      <c r="H7" s="12">
        <f t="shared" si="0"/>
        <v>1.4256529820053085</v>
      </c>
    </row>
    <row r="8" spans="2:8" x14ac:dyDescent="0.25">
      <c r="B8">
        <f t="shared" si="2"/>
        <v>2011</v>
      </c>
      <c r="C8" s="4">
        <v>95135744.823140621</v>
      </c>
      <c r="D8" s="4">
        <f t="shared" si="1"/>
        <v>132971135.59059462</v>
      </c>
      <c r="F8">
        <f t="shared" si="3"/>
        <v>2011</v>
      </c>
      <c r="G8" s="32">
        <v>0.02</v>
      </c>
      <c r="H8" s="12">
        <f t="shared" si="0"/>
        <v>1.3976990019659887</v>
      </c>
    </row>
    <row r="9" spans="2:8" x14ac:dyDescent="0.25">
      <c r="B9">
        <f t="shared" si="2"/>
        <v>2012</v>
      </c>
      <c r="C9" s="4">
        <v>98696370.756087497</v>
      </c>
      <c r="D9" s="4">
        <f t="shared" si="1"/>
        <v>135242959.70926341</v>
      </c>
      <c r="F9">
        <f t="shared" si="3"/>
        <v>2012</v>
      </c>
      <c r="G9" s="32">
        <v>0.02</v>
      </c>
      <c r="H9" s="12">
        <f t="shared" si="0"/>
        <v>1.3702931391823419</v>
      </c>
    </row>
    <row r="10" spans="2:8" x14ac:dyDescent="0.25">
      <c r="B10">
        <f t="shared" si="2"/>
        <v>2013</v>
      </c>
      <c r="C10" s="4">
        <v>99152199.567185745</v>
      </c>
      <c r="D10" s="4">
        <f t="shared" si="1"/>
        <v>133203508.6291696</v>
      </c>
      <c r="F10">
        <f t="shared" si="3"/>
        <v>2013</v>
      </c>
      <c r="G10" s="32">
        <v>0.02</v>
      </c>
      <c r="H10" s="12">
        <f t="shared" si="0"/>
        <v>1.3434246462571979</v>
      </c>
    </row>
    <row r="11" spans="2:8" x14ac:dyDescent="0.25">
      <c r="B11">
        <f t="shared" si="2"/>
        <v>2014</v>
      </c>
      <c r="C11" s="4">
        <v>99660898.000059888</v>
      </c>
      <c r="D11" s="4">
        <f t="shared" si="1"/>
        <v>131261673.17784818</v>
      </c>
      <c r="F11">
        <f t="shared" si="3"/>
        <v>2014</v>
      </c>
      <c r="G11" s="32">
        <v>0.02</v>
      </c>
      <c r="H11" s="12">
        <f t="shared" si="0"/>
        <v>1.3170829865266647</v>
      </c>
    </row>
    <row r="12" spans="2:8" x14ac:dyDescent="0.25">
      <c r="B12">
        <f t="shared" si="2"/>
        <v>2015</v>
      </c>
      <c r="C12" s="4">
        <v>100065246.95088416</v>
      </c>
      <c r="D12" s="4">
        <f t="shared" si="1"/>
        <v>129210033.62901837</v>
      </c>
      <c r="F12">
        <f t="shared" si="3"/>
        <v>2015</v>
      </c>
      <c r="G12" s="32">
        <v>0.02</v>
      </c>
      <c r="H12" s="12">
        <f t="shared" si="0"/>
        <v>1.2912578299281026</v>
      </c>
    </row>
    <row r="13" spans="2:8" x14ac:dyDescent="0.25">
      <c r="B13">
        <f t="shared" si="2"/>
        <v>2016</v>
      </c>
      <c r="C13" s="4">
        <v>107227448.35171133</v>
      </c>
      <c r="D13" s="4">
        <f t="shared" si="1"/>
        <v>135743413.98760635</v>
      </c>
      <c r="F13">
        <f t="shared" si="3"/>
        <v>2016</v>
      </c>
      <c r="G13" s="32">
        <v>0.02</v>
      </c>
      <c r="H13" s="12">
        <f t="shared" si="0"/>
        <v>1.2659390489491202</v>
      </c>
    </row>
    <row r="14" spans="2:8" x14ac:dyDescent="0.25">
      <c r="B14">
        <f t="shared" si="2"/>
        <v>2017</v>
      </c>
      <c r="C14" s="4">
        <v>116046095.91653699</v>
      </c>
      <c r="D14" s="4">
        <f t="shared" si="1"/>
        <v>144026749.31258747</v>
      </c>
      <c r="F14">
        <f t="shared" si="3"/>
        <v>2017</v>
      </c>
      <c r="G14" s="32">
        <v>0.02</v>
      </c>
      <c r="H14" s="12">
        <f t="shared" si="0"/>
        <v>1.2411167146560003</v>
      </c>
    </row>
    <row r="15" spans="2:8" x14ac:dyDescent="0.25">
      <c r="B15">
        <f t="shared" si="2"/>
        <v>2018</v>
      </c>
      <c r="C15" s="4">
        <v>120266108.50785933</v>
      </c>
      <c r="D15" s="4">
        <f t="shared" si="1"/>
        <v>146337526.93699649</v>
      </c>
      <c r="F15">
        <f t="shared" si="3"/>
        <v>2018</v>
      </c>
      <c r="G15" s="32">
        <v>0.02</v>
      </c>
      <c r="H15" s="12">
        <f t="shared" si="0"/>
        <v>1.2167810928000002</v>
      </c>
    </row>
    <row r="16" spans="2:8" x14ac:dyDescent="0.25">
      <c r="B16">
        <f t="shared" si="2"/>
        <v>2019</v>
      </c>
      <c r="C16" s="4">
        <v>122072194.62504153</v>
      </c>
      <c r="D16" s="4">
        <f t="shared" si="1"/>
        <v>145622684.68269837</v>
      </c>
      <c r="F16">
        <f t="shared" si="3"/>
        <v>2019</v>
      </c>
      <c r="G16" s="32">
        <v>0.02</v>
      </c>
      <c r="H16" s="12">
        <f t="shared" si="0"/>
        <v>1.1929226400000001</v>
      </c>
    </row>
    <row r="17" spans="2:8" x14ac:dyDescent="0.25">
      <c r="B17">
        <f t="shared" si="2"/>
        <v>2020</v>
      </c>
      <c r="C17" s="4">
        <v>118970920.43931468</v>
      </c>
      <c r="D17" s="4">
        <f t="shared" si="1"/>
        <v>139140298.52323258</v>
      </c>
      <c r="F17">
        <f t="shared" si="3"/>
        <v>2020</v>
      </c>
      <c r="G17" s="32">
        <v>0.02</v>
      </c>
      <c r="H17" s="12">
        <f t="shared" si="0"/>
        <v>1.169532</v>
      </c>
    </row>
    <row r="18" spans="2:8" x14ac:dyDescent="0.25">
      <c r="B18">
        <f t="shared" si="2"/>
        <v>2021</v>
      </c>
      <c r="C18" s="4">
        <v>117089918.53104511</v>
      </c>
      <c r="D18" s="4">
        <f t="shared" si="1"/>
        <v>134255300.58769634</v>
      </c>
      <c r="F18">
        <f t="shared" si="3"/>
        <v>2021</v>
      </c>
      <c r="G18" s="32">
        <v>0.05</v>
      </c>
      <c r="H18" s="12">
        <f>H19*(1+G18)</f>
        <v>1.1466000000000001</v>
      </c>
    </row>
    <row r="19" spans="2:8" x14ac:dyDescent="0.25">
      <c r="B19">
        <f t="shared" si="2"/>
        <v>2022</v>
      </c>
      <c r="C19" s="4">
        <v>120067287.61964488</v>
      </c>
      <c r="D19" s="4">
        <f t="shared" si="1"/>
        <v>131113478.08065222</v>
      </c>
      <c r="F19">
        <f t="shared" si="3"/>
        <v>2022</v>
      </c>
      <c r="G19" s="32">
        <v>0.05</v>
      </c>
      <c r="H19" s="12">
        <f>H20*(1+G19)</f>
        <v>1.0920000000000001</v>
      </c>
    </row>
    <row r="20" spans="2:8" x14ac:dyDescent="0.25">
      <c r="B20" s="8" t="s">
        <v>4</v>
      </c>
      <c r="C20" s="7">
        <f>SUM(C5:C19)</f>
        <v>1581865999.3345728</v>
      </c>
      <c r="D20" s="7">
        <f>SUM(D5:D19)</f>
        <v>2026666193.5534513</v>
      </c>
      <c r="F20">
        <f t="shared" si="3"/>
        <v>2023</v>
      </c>
      <c r="G20" s="32">
        <v>0.04</v>
      </c>
      <c r="H20" s="12">
        <f>(1+G20)</f>
        <v>1.04</v>
      </c>
    </row>
    <row r="21" spans="2:8" x14ac:dyDescent="0.25">
      <c r="B21" s="1"/>
      <c r="C21" s="4"/>
      <c r="D21" s="4"/>
    </row>
    <row r="22" spans="2:8" x14ac:dyDescent="0.25">
      <c r="B22" s="16" t="s">
        <v>11</v>
      </c>
      <c r="C22" s="16"/>
      <c r="D22" s="16"/>
    </row>
    <row r="23" spans="2:8" x14ac:dyDescent="0.25">
      <c r="B23" s="1">
        <v>15</v>
      </c>
      <c r="C23" s="4">
        <f>AVERAGE(C5:C19)</f>
        <v>105457733.28897151</v>
      </c>
      <c r="D23" s="4">
        <f>AVERAGE(D5:D19)</f>
        <v>135111079.5702301</v>
      </c>
    </row>
    <row r="24" spans="2:8" x14ac:dyDescent="0.25">
      <c r="B24" s="1">
        <v>10</v>
      </c>
      <c r="C24" s="4">
        <f>AVERAGE(C10:C19)</f>
        <v>112061831.85092835</v>
      </c>
      <c r="D24" s="4">
        <f>AVERAGE(D10:D19)</f>
        <v>136991466.75475058</v>
      </c>
    </row>
    <row r="25" spans="2:8" x14ac:dyDescent="0.25">
      <c r="B25" s="1">
        <v>7</v>
      </c>
      <c r="C25" s="4">
        <f>AVERAGE(C13:C19)</f>
        <v>117391424.85587911</v>
      </c>
      <c r="D25" s="4">
        <f>AVERAGE(D13:D19)</f>
        <v>139462778.87306711</v>
      </c>
    </row>
    <row r="26" spans="2:8" x14ac:dyDescent="0.25">
      <c r="B26" s="1">
        <v>5</v>
      </c>
      <c r="C26" s="4">
        <f>AVERAGE(C15:C19)</f>
        <v>119693285.94458111</v>
      </c>
      <c r="D26" s="4">
        <f>AVERAGE(D15:D19)</f>
        <v>139293857.76225519</v>
      </c>
    </row>
    <row r="28" spans="2:8" x14ac:dyDescent="0.25">
      <c r="B28" s="16" t="s">
        <v>12</v>
      </c>
      <c r="C28" s="16"/>
      <c r="D28" s="16"/>
    </row>
    <row r="29" spans="2:8" x14ac:dyDescent="0.25">
      <c r="B29" s="1">
        <v>15</v>
      </c>
      <c r="C29" s="5">
        <f>IFERROR(_xlfn.STDEV.P(C5:C19)/C23, 0)</f>
        <v>0.11697594454043843</v>
      </c>
      <c r="D29" s="5">
        <f>IFERROR(_xlfn.STDEV.P(D5:D19)/D23, 0)</f>
        <v>4.6820487337865001E-2</v>
      </c>
    </row>
    <row r="30" spans="2:8" x14ac:dyDescent="0.25">
      <c r="B30" s="1">
        <v>10</v>
      </c>
      <c r="C30" s="5">
        <f>IFERROR(_xlfn.STDEV.P(C10:C19)/C24, 0)</f>
        <v>8.0224880365393783E-2</v>
      </c>
      <c r="D30" s="5">
        <f>IFERROR(_xlfn.STDEV.P(D10:D19)/D24, 0)</f>
        <v>4.4239240741092305E-2</v>
      </c>
    </row>
    <row r="31" spans="2:8" x14ac:dyDescent="0.25">
      <c r="B31" s="1">
        <v>7</v>
      </c>
      <c r="C31" s="5">
        <f>IFERROR(_xlfn.STDEV.P(C13:C19)/C25, 0)</f>
        <v>3.8775022157914979E-2</v>
      </c>
      <c r="D31" s="5">
        <f>IFERROR(_xlfn.STDEV.P(D13:D19)/D25, 0)</f>
        <v>3.9904792607245242E-2</v>
      </c>
    </row>
    <row r="32" spans="2:8" x14ac:dyDescent="0.25">
      <c r="B32" s="1">
        <v>5</v>
      </c>
      <c r="C32" s="5">
        <f>IFERROR(_xlfn.STDEV.P(C15:C19)/C26, 0)</f>
        <v>1.3690752386618659E-2</v>
      </c>
      <c r="D32" s="5">
        <f>IFERROR(_xlfn.STDEV.P(D15:D19)/D26, 0)</f>
        <v>4.3312638471383551E-2</v>
      </c>
    </row>
  </sheetData>
  <pageMargins left="0.25" right="0.25" top="0.75" bottom="0.75" header="0.3" footer="0.3"/>
  <pageSetup orientation="landscape" r:id="rId1"/>
  <headerFooter>
    <oddHeader>&amp;CBattleBots Extreme Pricing Challenge 2023 - Interactive Analysis</oddHeader>
    <oddFooter>&amp;R&amp;F
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73736-F7FE-4AD7-A7E9-1B3E9C7EC5E7}">
  <dimension ref="B1:AE58"/>
  <sheetViews>
    <sheetView showGridLines="0" zoomScaleNormal="100" workbookViewId="0"/>
  </sheetViews>
  <sheetFormatPr defaultRowHeight="15" x14ac:dyDescent="0.25"/>
  <cols>
    <col min="1" max="1" width="2" customWidth="1"/>
    <col min="2" max="2" width="9.140625" hidden="1" customWidth="1"/>
    <col min="3" max="3" width="12.140625" bestFit="1" customWidth="1"/>
    <col min="4" max="5" width="12.5703125" bestFit="1" customWidth="1"/>
    <col min="6" max="6" width="14.28515625" bestFit="1" customWidth="1"/>
    <col min="7" max="7" width="11.5703125" bestFit="1" customWidth="1"/>
    <col min="8" max="8" width="12.5703125" bestFit="1" customWidth="1"/>
    <col min="9" max="9" width="12.5703125" customWidth="1"/>
    <col min="10" max="10" width="5.28515625" customWidth="1"/>
    <col min="11" max="11" width="12.140625" bestFit="1" customWidth="1"/>
    <col min="12" max="13" width="12.5703125" bestFit="1" customWidth="1"/>
    <col min="14" max="14" width="14.28515625" bestFit="1" customWidth="1"/>
    <col min="15" max="15" width="10.5703125" bestFit="1" customWidth="1"/>
    <col min="16" max="16" width="12.5703125" bestFit="1" customWidth="1"/>
    <col min="17" max="17" width="12.5703125" customWidth="1"/>
    <col min="18" max="18" width="4.28515625" customWidth="1"/>
    <col min="19" max="19" width="8.28515625" customWidth="1"/>
    <col min="20" max="20" width="7.85546875" bestFit="1" customWidth="1"/>
    <col min="21" max="21" width="12.5703125" bestFit="1" customWidth="1"/>
    <col min="22" max="22" width="14.28515625" bestFit="1" customWidth="1"/>
    <col min="23" max="23" width="10.5703125" bestFit="1" customWidth="1"/>
    <col min="24" max="24" width="11.5703125" bestFit="1" customWidth="1"/>
    <col min="25" max="25" width="5.42578125" customWidth="1"/>
    <col min="26" max="26" width="9.42578125" customWidth="1"/>
    <col min="27" max="27" width="12" bestFit="1" customWidth="1"/>
    <col min="28" max="28" width="12.5703125" bestFit="1" customWidth="1"/>
    <col min="29" max="29" width="14.28515625" bestFit="1" customWidth="1"/>
    <col min="30" max="31" width="12" bestFit="1" customWidth="1"/>
  </cols>
  <sheetData>
    <row r="1" spans="2:31" x14ac:dyDescent="0.25">
      <c r="C1" s="20" t="s">
        <v>53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</row>
    <row r="3" spans="2:31" x14ac:dyDescent="0.25">
      <c r="C3" s="29" t="s">
        <v>15</v>
      </c>
      <c r="D3" s="29"/>
      <c r="E3" s="29"/>
      <c r="F3" s="29"/>
      <c r="G3" s="29"/>
      <c r="H3" s="29"/>
      <c r="I3" s="29"/>
      <c r="J3" s="2"/>
      <c r="K3" s="29" t="s">
        <v>14</v>
      </c>
      <c r="L3" s="29"/>
      <c r="M3" s="29"/>
      <c r="N3" s="29"/>
      <c r="O3" s="29"/>
      <c r="P3" s="29"/>
      <c r="Q3" s="29"/>
      <c r="S3" s="29" t="s">
        <v>62</v>
      </c>
      <c r="T3" s="29"/>
      <c r="U3" s="29"/>
      <c r="V3" s="29"/>
      <c r="W3" s="29"/>
      <c r="X3" s="29"/>
      <c r="Z3" s="29" t="s">
        <v>17</v>
      </c>
      <c r="AA3" s="29"/>
      <c r="AB3" s="29"/>
      <c r="AC3" s="29"/>
      <c r="AD3" s="29"/>
      <c r="AE3" s="29"/>
    </row>
    <row r="4" spans="2:31" x14ac:dyDescent="0.25">
      <c r="C4" s="18" t="s">
        <v>3</v>
      </c>
      <c r="D4" s="18" t="s">
        <v>41</v>
      </c>
      <c r="E4" s="18" t="s">
        <v>40</v>
      </c>
      <c r="F4" s="18" t="s">
        <v>39</v>
      </c>
      <c r="G4" s="18" t="s">
        <v>38</v>
      </c>
      <c r="H4" s="18" t="s">
        <v>37</v>
      </c>
      <c r="I4" s="18" t="s">
        <v>36</v>
      </c>
      <c r="K4" s="18" t="s">
        <v>3</v>
      </c>
      <c r="L4" s="18" t="s">
        <v>41</v>
      </c>
      <c r="M4" s="18" t="s">
        <v>40</v>
      </c>
      <c r="N4" s="18" t="s">
        <v>39</v>
      </c>
      <c r="O4" s="18" t="s">
        <v>38</v>
      </c>
      <c r="P4" s="18" t="s">
        <v>37</v>
      </c>
      <c r="Q4" s="18" t="s">
        <v>36</v>
      </c>
      <c r="S4" s="15" t="s">
        <v>3</v>
      </c>
      <c r="T4" s="18" t="s">
        <v>41</v>
      </c>
      <c r="U4" s="18" t="s">
        <v>40</v>
      </c>
      <c r="V4" s="18" t="s">
        <v>39</v>
      </c>
      <c r="W4" s="18" t="s">
        <v>38</v>
      </c>
      <c r="X4" s="18" t="s">
        <v>37</v>
      </c>
      <c r="Z4" s="15" t="s">
        <v>3</v>
      </c>
      <c r="AA4" s="18" t="s">
        <v>41</v>
      </c>
      <c r="AB4" s="18" t="s">
        <v>40</v>
      </c>
      <c r="AC4" s="18" t="s">
        <v>39</v>
      </c>
      <c r="AD4" s="18" t="s">
        <v>38</v>
      </c>
      <c r="AE4" s="18" t="s">
        <v>37</v>
      </c>
    </row>
    <row r="5" spans="2:31" x14ac:dyDescent="0.25">
      <c r="B5">
        <f t="shared" ref="B5:B24" si="0">2023-C5</f>
        <v>15</v>
      </c>
      <c r="C5">
        <v>2008</v>
      </c>
      <c r="D5" s="4">
        <v>38000000</v>
      </c>
      <c r="E5" s="4">
        <v>0</v>
      </c>
      <c r="F5" s="4">
        <v>0</v>
      </c>
      <c r="G5" s="4">
        <v>0</v>
      </c>
      <c r="H5" s="4">
        <v>0</v>
      </c>
      <c r="I5" s="4">
        <f>SUM(D5:H5)</f>
        <v>38000000</v>
      </c>
      <c r="J5" s="4"/>
      <c r="K5">
        <v>2008</v>
      </c>
      <c r="L5" s="4">
        <f t="shared" ref="L5:L25" si="1">D5*AA5</f>
        <v>81181277.946459234</v>
      </c>
      <c r="M5" s="4">
        <f t="shared" ref="M5:M25" si="2">E5*AB5</f>
        <v>0</v>
      </c>
      <c r="N5" s="4">
        <f t="shared" ref="N5:N25" si="3">F5*AC5</f>
        <v>0</v>
      </c>
      <c r="O5" s="4">
        <f t="shared" ref="O5:O25" si="4">G5*AD5</f>
        <v>0</v>
      </c>
      <c r="P5" s="4">
        <f t="shared" ref="P5:P25" si="5">H5*AE5</f>
        <v>0</v>
      </c>
      <c r="Q5" s="4">
        <f t="shared" ref="Q5:Q25" si="6">SUM(L5:P5)</f>
        <v>81181277.946459234</v>
      </c>
      <c r="S5">
        <v>2008</v>
      </c>
      <c r="T5" s="33">
        <v>0.03</v>
      </c>
      <c r="U5" s="33">
        <v>0.03</v>
      </c>
      <c r="V5" s="33">
        <v>0.03</v>
      </c>
      <c r="W5" s="33">
        <v>0.03</v>
      </c>
      <c r="X5" s="33">
        <v>0.03</v>
      </c>
      <c r="Z5">
        <v>2008</v>
      </c>
      <c r="AA5" s="12">
        <f t="shared" ref="AA5:AA23" si="7">IF($S6=$S5,AA6,AA6*(1+T5))</f>
        <v>2.1363494196436639</v>
      </c>
      <c r="AB5" s="12">
        <f t="shared" ref="AB5:AB24" si="8">IF($S6=$S5,AB6,AB6*(1+U5))</f>
        <v>2.1363494196436639</v>
      </c>
      <c r="AC5" s="12">
        <f t="shared" ref="AC5:AC24" si="9">IF($S6=$S5,AC6,AC6*(1+V5))</f>
        <v>2.1363494196436639</v>
      </c>
      <c r="AD5" s="12">
        <f t="shared" ref="AD5:AD24" si="10">IF($S6=$S5,AD6,AD6*(1+W5))</f>
        <v>2.1363494196436639</v>
      </c>
      <c r="AE5" s="12">
        <f t="shared" ref="AE5:AE24" si="11">IF($S6=$S5,AE6,AE6*(1+X5))</f>
        <v>2.1363494196436639</v>
      </c>
    </row>
    <row r="6" spans="2:31" x14ac:dyDescent="0.25">
      <c r="B6">
        <f t="shared" si="0"/>
        <v>14</v>
      </c>
      <c r="C6">
        <f>C5+1</f>
        <v>2009</v>
      </c>
      <c r="D6" s="4">
        <v>0</v>
      </c>
      <c r="E6" s="4">
        <v>0</v>
      </c>
      <c r="F6" s="4">
        <v>3000000</v>
      </c>
      <c r="G6" s="4">
        <v>0</v>
      </c>
      <c r="H6" s="4">
        <v>0</v>
      </c>
      <c r="I6" s="4">
        <f t="shared" ref="I6:I25" si="12">SUM(D6:H6)</f>
        <v>3000000</v>
      </c>
      <c r="J6" s="4"/>
      <c r="K6">
        <f>K5+1</f>
        <v>2009</v>
      </c>
      <c r="L6" s="4">
        <f t="shared" si="1"/>
        <v>0</v>
      </c>
      <c r="M6" s="4">
        <f t="shared" si="2"/>
        <v>0</v>
      </c>
      <c r="N6" s="4">
        <f t="shared" si="3"/>
        <v>6222376.9504184388</v>
      </c>
      <c r="O6" s="4">
        <f t="shared" si="4"/>
        <v>0</v>
      </c>
      <c r="P6" s="4">
        <f t="shared" si="5"/>
        <v>0</v>
      </c>
      <c r="Q6" s="4">
        <f t="shared" si="6"/>
        <v>6222376.9504184388</v>
      </c>
      <c r="S6">
        <f>S5+1</f>
        <v>2009</v>
      </c>
      <c r="T6" s="34">
        <v>0.03</v>
      </c>
      <c r="U6" s="34">
        <v>0.03</v>
      </c>
      <c r="V6" s="34">
        <v>0.03</v>
      </c>
      <c r="W6" s="34">
        <v>0.03</v>
      </c>
      <c r="X6" s="34">
        <v>0.03</v>
      </c>
      <c r="Z6">
        <f>Z5+1</f>
        <v>2009</v>
      </c>
      <c r="AA6" s="12">
        <f t="shared" si="7"/>
        <v>2.0741256501394796</v>
      </c>
      <c r="AB6" s="12">
        <f t="shared" si="8"/>
        <v>2.0741256501394796</v>
      </c>
      <c r="AC6" s="12">
        <f t="shared" si="9"/>
        <v>2.0741256501394796</v>
      </c>
      <c r="AD6" s="12">
        <f t="shared" si="10"/>
        <v>2.0741256501394796</v>
      </c>
      <c r="AE6" s="12">
        <f t="shared" si="11"/>
        <v>2.0741256501394796</v>
      </c>
    </row>
    <row r="7" spans="2:31" x14ac:dyDescent="0.25">
      <c r="B7">
        <f t="shared" si="0"/>
        <v>13</v>
      </c>
      <c r="C7">
        <f t="shared" ref="C7:C18" si="13">C6+1</f>
        <v>2010</v>
      </c>
      <c r="D7" s="4">
        <v>0</v>
      </c>
      <c r="E7" s="4">
        <v>0</v>
      </c>
      <c r="F7" s="4">
        <v>0</v>
      </c>
      <c r="G7" s="4">
        <v>0</v>
      </c>
      <c r="H7" s="4">
        <v>2000000</v>
      </c>
      <c r="I7" s="4">
        <f t="shared" si="12"/>
        <v>2000000</v>
      </c>
      <c r="J7" s="4"/>
      <c r="K7">
        <f t="shared" ref="K7:K18" si="14">K6+1</f>
        <v>2010</v>
      </c>
      <c r="L7" s="4">
        <f t="shared" si="1"/>
        <v>0</v>
      </c>
      <c r="M7" s="4">
        <f t="shared" si="2"/>
        <v>0</v>
      </c>
      <c r="N7" s="4">
        <f t="shared" si="3"/>
        <v>0</v>
      </c>
      <c r="O7" s="4">
        <f t="shared" si="4"/>
        <v>0</v>
      </c>
      <c r="P7" s="4">
        <f t="shared" si="5"/>
        <v>4027428.4468727759</v>
      </c>
      <c r="Q7" s="4">
        <f t="shared" si="6"/>
        <v>4027428.4468727759</v>
      </c>
      <c r="S7">
        <f t="shared" ref="S7:S18" si="15">S6+1</f>
        <v>2010</v>
      </c>
      <c r="T7" s="34">
        <v>0.03</v>
      </c>
      <c r="U7" s="34">
        <v>0.03</v>
      </c>
      <c r="V7" s="34">
        <v>0.03</v>
      </c>
      <c r="W7" s="34">
        <v>0.03</v>
      </c>
      <c r="X7" s="34">
        <v>0.03</v>
      </c>
      <c r="Z7">
        <f t="shared" ref="Z7:Z18" si="16">Z6+1</f>
        <v>2010</v>
      </c>
      <c r="AA7" s="12">
        <f t="shared" si="7"/>
        <v>2.0137142234363878</v>
      </c>
      <c r="AB7" s="12">
        <f t="shared" si="8"/>
        <v>2.0137142234363878</v>
      </c>
      <c r="AC7" s="12">
        <f t="shared" si="9"/>
        <v>2.0137142234363878</v>
      </c>
      <c r="AD7" s="12">
        <f t="shared" si="10"/>
        <v>2.0137142234363878</v>
      </c>
      <c r="AE7" s="12">
        <f t="shared" si="11"/>
        <v>2.0137142234363878</v>
      </c>
    </row>
    <row r="8" spans="2:31" x14ac:dyDescent="0.25">
      <c r="B8">
        <f t="shared" si="0"/>
        <v>12</v>
      </c>
      <c r="C8">
        <f t="shared" si="13"/>
        <v>2011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f t="shared" si="12"/>
        <v>0</v>
      </c>
      <c r="J8" s="4"/>
      <c r="K8">
        <f t="shared" si="14"/>
        <v>2011</v>
      </c>
      <c r="L8" s="4">
        <f t="shared" si="1"/>
        <v>0</v>
      </c>
      <c r="M8" s="4">
        <f t="shared" si="2"/>
        <v>0</v>
      </c>
      <c r="N8" s="4">
        <f t="shared" si="3"/>
        <v>0</v>
      </c>
      <c r="O8" s="4">
        <f t="shared" si="4"/>
        <v>0</v>
      </c>
      <c r="P8" s="4">
        <f t="shared" si="5"/>
        <v>0</v>
      </c>
      <c r="Q8" s="4">
        <f t="shared" si="6"/>
        <v>0</v>
      </c>
      <c r="S8">
        <f t="shared" si="15"/>
        <v>2011</v>
      </c>
      <c r="T8" s="34">
        <v>0.03</v>
      </c>
      <c r="U8" s="34">
        <v>0.03</v>
      </c>
      <c r="V8" s="34">
        <v>0.03</v>
      </c>
      <c r="W8" s="34">
        <v>0.03</v>
      </c>
      <c r="X8" s="34">
        <v>0.03</v>
      </c>
      <c r="Z8">
        <f t="shared" si="16"/>
        <v>2011</v>
      </c>
      <c r="AA8" s="12">
        <f t="shared" si="7"/>
        <v>1.9550623528508617</v>
      </c>
      <c r="AB8" s="12">
        <f t="shared" si="8"/>
        <v>1.9550623528508617</v>
      </c>
      <c r="AC8" s="12">
        <f t="shared" si="9"/>
        <v>1.9550623528508617</v>
      </c>
      <c r="AD8" s="12">
        <f t="shared" si="10"/>
        <v>1.9550623528508617</v>
      </c>
      <c r="AE8" s="12">
        <f t="shared" si="11"/>
        <v>1.9550623528508617</v>
      </c>
    </row>
    <row r="9" spans="2:31" x14ac:dyDescent="0.25">
      <c r="B9">
        <f t="shared" si="0"/>
        <v>11</v>
      </c>
      <c r="C9">
        <f t="shared" si="13"/>
        <v>2012</v>
      </c>
      <c r="D9" s="4">
        <v>0</v>
      </c>
      <c r="E9" s="4">
        <v>0</v>
      </c>
      <c r="F9" s="4">
        <v>0</v>
      </c>
      <c r="G9" s="4">
        <v>2000000</v>
      </c>
      <c r="H9" s="4">
        <v>0</v>
      </c>
      <c r="I9" s="4">
        <f t="shared" si="12"/>
        <v>2000000</v>
      </c>
      <c r="J9" s="4"/>
      <c r="K9">
        <f t="shared" si="14"/>
        <v>2012</v>
      </c>
      <c r="L9" s="4">
        <f t="shared" si="1"/>
        <v>0</v>
      </c>
      <c r="M9" s="4">
        <f t="shared" si="2"/>
        <v>0</v>
      </c>
      <c r="N9" s="4">
        <f t="shared" si="3"/>
        <v>0</v>
      </c>
      <c r="O9" s="4">
        <f t="shared" si="4"/>
        <v>3796237.578351188</v>
      </c>
      <c r="P9" s="4">
        <f t="shared" si="5"/>
        <v>0</v>
      </c>
      <c r="Q9" s="4">
        <f t="shared" si="6"/>
        <v>3796237.578351188</v>
      </c>
      <c r="S9">
        <f t="shared" si="15"/>
        <v>2012</v>
      </c>
      <c r="T9" s="34">
        <v>0.03</v>
      </c>
      <c r="U9" s="34">
        <v>0.03</v>
      </c>
      <c r="V9" s="34">
        <v>0.03</v>
      </c>
      <c r="W9" s="34">
        <v>0.03</v>
      </c>
      <c r="X9" s="34">
        <v>0.03</v>
      </c>
      <c r="Z9">
        <f t="shared" si="16"/>
        <v>2012</v>
      </c>
      <c r="AA9" s="12">
        <f t="shared" si="7"/>
        <v>1.898118789175594</v>
      </c>
      <c r="AB9" s="12">
        <f t="shared" si="8"/>
        <v>1.898118789175594</v>
      </c>
      <c r="AC9" s="12">
        <f t="shared" si="9"/>
        <v>1.898118789175594</v>
      </c>
      <c r="AD9" s="12">
        <f t="shared" si="10"/>
        <v>1.898118789175594</v>
      </c>
      <c r="AE9" s="12">
        <f t="shared" si="11"/>
        <v>1.898118789175594</v>
      </c>
    </row>
    <row r="10" spans="2:31" x14ac:dyDescent="0.25">
      <c r="B10">
        <f t="shared" si="0"/>
        <v>10</v>
      </c>
      <c r="C10">
        <f t="shared" si="13"/>
        <v>2013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f t="shared" si="12"/>
        <v>0</v>
      </c>
      <c r="J10" s="4"/>
      <c r="K10">
        <f t="shared" si="14"/>
        <v>2013</v>
      </c>
      <c r="L10" s="4">
        <f t="shared" si="1"/>
        <v>0</v>
      </c>
      <c r="M10" s="4">
        <f t="shared" si="2"/>
        <v>0</v>
      </c>
      <c r="N10" s="4">
        <f t="shared" si="3"/>
        <v>0</v>
      </c>
      <c r="O10" s="4">
        <f t="shared" si="4"/>
        <v>0</v>
      </c>
      <c r="P10" s="4">
        <f t="shared" si="5"/>
        <v>0</v>
      </c>
      <c r="Q10" s="4">
        <f t="shared" si="6"/>
        <v>0</v>
      </c>
      <c r="S10">
        <f t="shared" si="15"/>
        <v>2013</v>
      </c>
      <c r="T10" s="34">
        <v>0.03</v>
      </c>
      <c r="U10" s="34">
        <v>0.03</v>
      </c>
      <c r="V10" s="34">
        <v>0.03</v>
      </c>
      <c r="W10" s="34">
        <v>0.03</v>
      </c>
      <c r="X10" s="34">
        <v>0.03</v>
      </c>
      <c r="Z10">
        <f t="shared" si="16"/>
        <v>2013</v>
      </c>
      <c r="AA10" s="12">
        <f t="shared" si="7"/>
        <v>1.8428337758986348</v>
      </c>
      <c r="AB10" s="12">
        <f t="shared" si="8"/>
        <v>1.8428337758986348</v>
      </c>
      <c r="AC10" s="12">
        <f t="shared" si="9"/>
        <v>1.8428337758986348</v>
      </c>
      <c r="AD10" s="12">
        <f t="shared" si="10"/>
        <v>1.8428337758986348</v>
      </c>
      <c r="AE10" s="12">
        <f t="shared" si="11"/>
        <v>1.8428337758986348</v>
      </c>
    </row>
    <row r="11" spans="2:31" x14ac:dyDescent="0.25">
      <c r="B11">
        <f t="shared" si="0"/>
        <v>9</v>
      </c>
      <c r="C11">
        <f t="shared" si="13"/>
        <v>2014</v>
      </c>
      <c r="D11" s="4">
        <v>0</v>
      </c>
      <c r="E11" s="4">
        <v>0</v>
      </c>
      <c r="F11" s="4">
        <v>1000000</v>
      </c>
      <c r="G11" s="4">
        <v>0</v>
      </c>
      <c r="H11" s="4">
        <v>1000000</v>
      </c>
      <c r="I11" s="4">
        <f t="shared" si="12"/>
        <v>2000000</v>
      </c>
      <c r="J11" s="4"/>
      <c r="K11">
        <f t="shared" si="14"/>
        <v>2014</v>
      </c>
      <c r="L11" s="4">
        <f t="shared" si="1"/>
        <v>0</v>
      </c>
      <c r="M11" s="4">
        <f t="shared" si="2"/>
        <v>0</v>
      </c>
      <c r="N11" s="4">
        <f t="shared" si="3"/>
        <v>1789159.0057268299</v>
      </c>
      <c r="O11" s="4">
        <f t="shared" si="4"/>
        <v>0</v>
      </c>
      <c r="P11" s="4">
        <f t="shared" si="5"/>
        <v>1789159.0057268299</v>
      </c>
      <c r="Q11" s="4">
        <f t="shared" si="6"/>
        <v>3578318.0114536597</v>
      </c>
      <c r="S11">
        <f t="shared" si="15"/>
        <v>2014</v>
      </c>
      <c r="T11" s="34">
        <v>0.03</v>
      </c>
      <c r="U11" s="34">
        <v>0.03</v>
      </c>
      <c r="V11" s="34">
        <v>0.03</v>
      </c>
      <c r="W11" s="34">
        <v>0.03</v>
      </c>
      <c r="X11" s="34">
        <v>0.03</v>
      </c>
      <c r="Z11">
        <f t="shared" si="16"/>
        <v>2014</v>
      </c>
      <c r="AA11" s="12">
        <f t="shared" si="7"/>
        <v>1.7891590057268298</v>
      </c>
      <c r="AB11" s="12">
        <f t="shared" si="8"/>
        <v>1.7891590057268298</v>
      </c>
      <c r="AC11" s="12">
        <f t="shared" si="9"/>
        <v>1.7891590057268298</v>
      </c>
      <c r="AD11" s="12">
        <f t="shared" si="10"/>
        <v>1.7891590057268298</v>
      </c>
      <c r="AE11" s="12">
        <f t="shared" si="11"/>
        <v>1.7891590057268298</v>
      </c>
    </row>
    <row r="12" spans="2:31" x14ac:dyDescent="0.25">
      <c r="B12">
        <f t="shared" si="0"/>
        <v>8</v>
      </c>
      <c r="C12">
        <f t="shared" si="13"/>
        <v>2015</v>
      </c>
      <c r="D12" s="4">
        <v>24000000</v>
      </c>
      <c r="E12" s="4">
        <v>0</v>
      </c>
      <c r="F12" s="4">
        <v>0</v>
      </c>
      <c r="G12" s="4">
        <v>0</v>
      </c>
      <c r="H12" s="4">
        <v>1000000</v>
      </c>
      <c r="I12" s="4">
        <f t="shared" si="12"/>
        <v>25000000</v>
      </c>
      <c r="J12" s="4"/>
      <c r="K12">
        <f t="shared" si="14"/>
        <v>2015</v>
      </c>
      <c r="L12" s="4">
        <f t="shared" si="1"/>
        <v>41689141.881013513</v>
      </c>
      <c r="M12" s="4">
        <f t="shared" si="2"/>
        <v>0</v>
      </c>
      <c r="N12" s="4">
        <f t="shared" si="3"/>
        <v>0</v>
      </c>
      <c r="O12" s="4">
        <f t="shared" si="4"/>
        <v>0</v>
      </c>
      <c r="P12" s="4">
        <f t="shared" si="5"/>
        <v>1737047.578375563</v>
      </c>
      <c r="Q12" s="4">
        <f t="shared" si="6"/>
        <v>43426189.459389076</v>
      </c>
      <c r="S12">
        <f t="shared" si="15"/>
        <v>2015</v>
      </c>
      <c r="T12" s="34">
        <v>0.03</v>
      </c>
      <c r="U12" s="34">
        <v>0.03</v>
      </c>
      <c r="V12" s="34">
        <v>0.03</v>
      </c>
      <c r="W12" s="34">
        <v>0.03</v>
      </c>
      <c r="X12" s="34">
        <v>0.03</v>
      </c>
      <c r="Z12">
        <f t="shared" si="16"/>
        <v>2015</v>
      </c>
      <c r="AA12" s="12">
        <f t="shared" si="7"/>
        <v>1.737047578375563</v>
      </c>
      <c r="AB12" s="12">
        <f t="shared" si="8"/>
        <v>1.737047578375563</v>
      </c>
      <c r="AC12" s="12">
        <f t="shared" si="9"/>
        <v>1.737047578375563</v>
      </c>
      <c r="AD12" s="12">
        <f t="shared" si="10"/>
        <v>1.737047578375563</v>
      </c>
      <c r="AE12" s="12">
        <f t="shared" si="11"/>
        <v>1.737047578375563</v>
      </c>
    </row>
    <row r="13" spans="2:31" x14ac:dyDescent="0.25">
      <c r="B13">
        <f t="shared" si="0"/>
        <v>7</v>
      </c>
      <c r="C13">
        <f t="shared" si="13"/>
        <v>2016</v>
      </c>
      <c r="D13" s="4">
        <v>0</v>
      </c>
      <c r="E13" s="4">
        <v>0</v>
      </c>
      <c r="F13" s="4">
        <v>4000000</v>
      </c>
      <c r="G13" s="4">
        <v>0</v>
      </c>
      <c r="H13" s="4">
        <v>0</v>
      </c>
      <c r="I13" s="4">
        <f t="shared" si="12"/>
        <v>4000000</v>
      </c>
      <c r="J13" s="4"/>
      <c r="K13">
        <f t="shared" si="14"/>
        <v>2016</v>
      </c>
      <c r="L13" s="4">
        <f t="shared" si="1"/>
        <v>0</v>
      </c>
      <c r="M13" s="4">
        <f t="shared" si="2"/>
        <v>0</v>
      </c>
      <c r="N13" s="4">
        <f t="shared" si="3"/>
        <v>6745815.8383517005</v>
      </c>
      <c r="O13" s="4">
        <f t="shared" si="4"/>
        <v>0</v>
      </c>
      <c r="P13" s="4">
        <f t="shared" si="5"/>
        <v>0</v>
      </c>
      <c r="Q13" s="4">
        <f t="shared" si="6"/>
        <v>6745815.8383517005</v>
      </c>
      <c r="S13">
        <f t="shared" si="15"/>
        <v>2016</v>
      </c>
      <c r="T13" s="34">
        <v>0.03</v>
      </c>
      <c r="U13" s="34">
        <v>0.03</v>
      </c>
      <c r="V13" s="34">
        <v>0.03</v>
      </c>
      <c r="W13" s="34">
        <v>0.03</v>
      </c>
      <c r="X13" s="34">
        <v>0.03</v>
      </c>
      <c r="Z13">
        <f t="shared" si="16"/>
        <v>2016</v>
      </c>
      <c r="AA13" s="12">
        <f t="shared" si="7"/>
        <v>1.6864539595879251</v>
      </c>
      <c r="AB13" s="12">
        <f t="shared" si="8"/>
        <v>1.6864539595879251</v>
      </c>
      <c r="AC13" s="12">
        <f t="shared" si="9"/>
        <v>1.6864539595879251</v>
      </c>
      <c r="AD13" s="12">
        <f t="shared" si="10"/>
        <v>1.6864539595879251</v>
      </c>
      <c r="AE13" s="12">
        <f t="shared" si="11"/>
        <v>1.6864539595879251</v>
      </c>
    </row>
    <row r="14" spans="2:31" x14ac:dyDescent="0.25">
      <c r="B14">
        <f t="shared" si="0"/>
        <v>6</v>
      </c>
      <c r="C14">
        <f t="shared" si="13"/>
        <v>2017</v>
      </c>
      <c r="D14" s="4">
        <v>10000000</v>
      </c>
      <c r="E14" s="4">
        <v>11000000</v>
      </c>
      <c r="F14" s="4">
        <v>15000000</v>
      </c>
      <c r="G14" s="4">
        <v>0</v>
      </c>
      <c r="H14" s="4">
        <v>14000000</v>
      </c>
      <c r="I14" s="4">
        <f t="shared" si="12"/>
        <v>50000000</v>
      </c>
      <c r="J14" s="4"/>
      <c r="K14">
        <f t="shared" si="14"/>
        <v>2017</v>
      </c>
      <c r="L14" s="4">
        <f t="shared" si="1"/>
        <v>16373339.413475001</v>
      </c>
      <c r="M14" s="4">
        <f t="shared" si="2"/>
        <v>18010673.354822502</v>
      </c>
      <c r="N14" s="4">
        <f t="shared" si="3"/>
        <v>24560009.120212503</v>
      </c>
      <c r="O14" s="4">
        <f t="shared" si="4"/>
        <v>0</v>
      </c>
      <c r="P14" s="4">
        <f t="shared" si="5"/>
        <v>22922675.178865001</v>
      </c>
      <c r="Q14" s="4">
        <f t="shared" si="6"/>
        <v>81866697.067375004</v>
      </c>
      <c r="S14">
        <f t="shared" si="15"/>
        <v>2017</v>
      </c>
      <c r="T14" s="34">
        <v>0.03</v>
      </c>
      <c r="U14" s="34">
        <v>0.03</v>
      </c>
      <c r="V14" s="34">
        <v>0.03</v>
      </c>
      <c r="W14" s="34">
        <v>0.03</v>
      </c>
      <c r="X14" s="34">
        <v>0.03</v>
      </c>
      <c r="Z14">
        <f t="shared" si="16"/>
        <v>2017</v>
      </c>
      <c r="AA14" s="12">
        <f t="shared" si="7"/>
        <v>1.6373339413475001</v>
      </c>
      <c r="AB14" s="12">
        <f t="shared" si="8"/>
        <v>1.6373339413475001</v>
      </c>
      <c r="AC14" s="12">
        <f t="shared" si="9"/>
        <v>1.6373339413475001</v>
      </c>
      <c r="AD14" s="12">
        <f t="shared" si="10"/>
        <v>1.6373339413475001</v>
      </c>
      <c r="AE14" s="12">
        <f t="shared" si="11"/>
        <v>1.6373339413475001</v>
      </c>
    </row>
    <row r="15" spans="2:31" x14ac:dyDescent="0.25">
      <c r="B15">
        <f t="shared" si="0"/>
        <v>6</v>
      </c>
      <c r="C15">
        <v>2017</v>
      </c>
      <c r="D15" s="4">
        <v>8000000</v>
      </c>
      <c r="E15" s="4">
        <v>0</v>
      </c>
      <c r="F15" s="4">
        <v>14000000</v>
      </c>
      <c r="G15" s="4">
        <v>0</v>
      </c>
      <c r="H15" s="4">
        <v>14000000</v>
      </c>
      <c r="I15" s="4">
        <f t="shared" si="12"/>
        <v>36000000</v>
      </c>
      <c r="J15" s="4"/>
      <c r="K15">
        <v>2017</v>
      </c>
      <c r="L15" s="4">
        <f t="shared" si="1"/>
        <v>13098671.530780001</v>
      </c>
      <c r="M15" s="4">
        <f t="shared" si="2"/>
        <v>0</v>
      </c>
      <c r="N15" s="4">
        <f t="shared" si="3"/>
        <v>22922675.178865001</v>
      </c>
      <c r="O15" s="4">
        <f t="shared" si="4"/>
        <v>0</v>
      </c>
      <c r="P15" s="4">
        <f t="shared" si="5"/>
        <v>22922675.178865001</v>
      </c>
      <c r="Q15" s="4">
        <f t="shared" si="6"/>
        <v>58944021.888510004</v>
      </c>
      <c r="S15">
        <v>2017</v>
      </c>
      <c r="T15" s="34">
        <v>0.03</v>
      </c>
      <c r="U15" s="34">
        <v>0.03</v>
      </c>
      <c r="V15" s="34">
        <v>0.03</v>
      </c>
      <c r="W15" s="34">
        <v>0.03</v>
      </c>
      <c r="X15" s="34">
        <v>0.03</v>
      </c>
      <c r="Z15">
        <v>2017</v>
      </c>
      <c r="AA15" s="12">
        <f t="shared" ref="AA15:AE16" si="17">IF($S17=$S15,AA17,AA17*(1+T15))</f>
        <v>1.6373339413475001</v>
      </c>
      <c r="AB15" s="12">
        <f t="shared" si="17"/>
        <v>1.6373339413475001</v>
      </c>
      <c r="AC15" s="12">
        <f t="shared" si="17"/>
        <v>1.6373339413475001</v>
      </c>
      <c r="AD15" s="12">
        <f t="shared" si="17"/>
        <v>1.6373339413475001</v>
      </c>
      <c r="AE15" s="12">
        <f t="shared" si="17"/>
        <v>1.6373339413475001</v>
      </c>
    </row>
    <row r="16" spans="2:31" x14ac:dyDescent="0.25">
      <c r="B16">
        <f t="shared" si="0"/>
        <v>6</v>
      </c>
      <c r="C16">
        <v>2017</v>
      </c>
      <c r="D16" s="4">
        <v>0</v>
      </c>
      <c r="E16" s="4">
        <v>0</v>
      </c>
      <c r="F16" s="4">
        <v>0</v>
      </c>
      <c r="G16" s="4">
        <v>0</v>
      </c>
      <c r="H16" s="4">
        <v>12000000</v>
      </c>
      <c r="I16" s="4">
        <f t="shared" si="12"/>
        <v>12000000</v>
      </c>
      <c r="J16" s="4"/>
      <c r="K16">
        <v>2017</v>
      </c>
      <c r="L16" s="4">
        <f t="shared" si="1"/>
        <v>0</v>
      </c>
      <c r="M16" s="4">
        <f t="shared" si="2"/>
        <v>0</v>
      </c>
      <c r="N16" s="4">
        <f t="shared" si="3"/>
        <v>0</v>
      </c>
      <c r="O16" s="4">
        <f t="shared" si="4"/>
        <v>0</v>
      </c>
      <c r="P16" s="4">
        <f t="shared" si="5"/>
        <v>19075735.239</v>
      </c>
      <c r="Q16" s="4">
        <f t="shared" si="6"/>
        <v>19075735.239</v>
      </c>
      <c r="S16">
        <v>2017</v>
      </c>
      <c r="T16" s="34">
        <v>0.03</v>
      </c>
      <c r="U16" s="34">
        <v>0.03</v>
      </c>
      <c r="V16" s="34">
        <v>0.03</v>
      </c>
      <c r="W16" s="34">
        <v>0.03</v>
      </c>
      <c r="X16" s="34">
        <v>0.03</v>
      </c>
      <c r="Z16">
        <v>2017</v>
      </c>
      <c r="AA16" s="12">
        <f t="shared" si="17"/>
        <v>1.58964460325</v>
      </c>
      <c r="AB16" s="12">
        <f t="shared" si="17"/>
        <v>1.58964460325</v>
      </c>
      <c r="AC16" s="12">
        <f t="shared" si="17"/>
        <v>1.58964460325</v>
      </c>
      <c r="AD16" s="12">
        <f t="shared" si="17"/>
        <v>1.58964460325</v>
      </c>
      <c r="AE16" s="12">
        <f t="shared" si="17"/>
        <v>1.58964460325</v>
      </c>
    </row>
    <row r="17" spans="2:31" x14ac:dyDescent="0.25">
      <c r="B17">
        <f t="shared" si="0"/>
        <v>5</v>
      </c>
      <c r="C17">
        <f>C14+1</f>
        <v>2018</v>
      </c>
      <c r="D17" s="4">
        <v>0</v>
      </c>
      <c r="E17" s="4">
        <v>0</v>
      </c>
      <c r="F17" s="4">
        <v>12000000</v>
      </c>
      <c r="G17" s="4">
        <v>0</v>
      </c>
      <c r="H17" s="4">
        <v>0</v>
      </c>
      <c r="I17" s="4">
        <f t="shared" si="12"/>
        <v>12000000</v>
      </c>
      <c r="J17" s="4"/>
      <c r="K17">
        <f>K14+1</f>
        <v>2018</v>
      </c>
      <c r="L17" s="4">
        <f t="shared" si="1"/>
        <v>0</v>
      </c>
      <c r="M17" s="4">
        <f t="shared" si="2"/>
        <v>0</v>
      </c>
      <c r="N17" s="4">
        <f t="shared" si="3"/>
        <v>19075735.239</v>
      </c>
      <c r="O17" s="4">
        <f t="shared" si="4"/>
        <v>0</v>
      </c>
      <c r="P17" s="4">
        <f t="shared" si="5"/>
        <v>0</v>
      </c>
      <c r="Q17" s="4">
        <f t="shared" si="6"/>
        <v>19075735.239</v>
      </c>
      <c r="S17">
        <f>S14+1</f>
        <v>2018</v>
      </c>
      <c r="T17" s="34">
        <v>0.03</v>
      </c>
      <c r="U17" s="34">
        <v>0.03</v>
      </c>
      <c r="V17" s="34">
        <v>0.03</v>
      </c>
      <c r="W17" s="34">
        <v>0.03</v>
      </c>
      <c r="X17" s="34">
        <v>0.03</v>
      </c>
      <c r="Z17">
        <f>Z14+1</f>
        <v>2018</v>
      </c>
      <c r="AA17" s="12">
        <f t="shared" si="7"/>
        <v>1.58964460325</v>
      </c>
      <c r="AB17" s="12">
        <f t="shared" si="8"/>
        <v>1.58964460325</v>
      </c>
      <c r="AC17" s="12">
        <f t="shared" si="9"/>
        <v>1.58964460325</v>
      </c>
      <c r="AD17" s="12">
        <f t="shared" si="10"/>
        <v>1.58964460325</v>
      </c>
      <c r="AE17" s="12">
        <f t="shared" si="11"/>
        <v>1.58964460325</v>
      </c>
    </row>
    <row r="18" spans="2:31" x14ac:dyDescent="0.25">
      <c r="B18">
        <f t="shared" si="0"/>
        <v>4</v>
      </c>
      <c r="C18">
        <f t="shared" si="13"/>
        <v>2019</v>
      </c>
      <c r="D18" s="4">
        <v>0</v>
      </c>
      <c r="E18" s="4">
        <v>1000000</v>
      </c>
      <c r="F18" s="4">
        <v>0</v>
      </c>
      <c r="G18" s="4">
        <v>0</v>
      </c>
      <c r="H18" s="4">
        <v>3000000</v>
      </c>
      <c r="I18" s="4">
        <f t="shared" si="12"/>
        <v>4000000</v>
      </c>
      <c r="J18" s="4"/>
      <c r="K18">
        <f t="shared" si="14"/>
        <v>2019</v>
      </c>
      <c r="L18" s="4">
        <f t="shared" si="1"/>
        <v>0</v>
      </c>
      <c r="M18" s="4">
        <f t="shared" si="2"/>
        <v>1543344.2749999999</v>
      </c>
      <c r="N18" s="4">
        <f t="shared" si="3"/>
        <v>0</v>
      </c>
      <c r="O18" s="4">
        <f t="shared" si="4"/>
        <v>0</v>
      </c>
      <c r="P18" s="4">
        <f t="shared" si="5"/>
        <v>4630032.8250000002</v>
      </c>
      <c r="Q18" s="4">
        <f t="shared" si="6"/>
        <v>6173377.0999999996</v>
      </c>
      <c r="S18">
        <f t="shared" si="15"/>
        <v>2019</v>
      </c>
      <c r="T18" s="34">
        <v>0.03</v>
      </c>
      <c r="U18" s="34">
        <v>0.03</v>
      </c>
      <c r="V18" s="34">
        <v>0.03</v>
      </c>
      <c r="W18" s="34">
        <v>0.03</v>
      </c>
      <c r="X18" s="34">
        <v>0.03</v>
      </c>
      <c r="Z18">
        <f t="shared" si="16"/>
        <v>2019</v>
      </c>
      <c r="AA18" s="12">
        <f t="shared" si="7"/>
        <v>1.5433442749999999</v>
      </c>
      <c r="AB18" s="12">
        <f t="shared" si="8"/>
        <v>1.5433442749999999</v>
      </c>
      <c r="AC18" s="12">
        <f t="shared" si="9"/>
        <v>1.5433442749999999</v>
      </c>
      <c r="AD18" s="12">
        <f t="shared" si="10"/>
        <v>1.5433442749999999</v>
      </c>
      <c r="AE18" s="12">
        <f t="shared" si="11"/>
        <v>1.5433442749999999</v>
      </c>
    </row>
    <row r="19" spans="2:31" x14ac:dyDescent="0.25">
      <c r="B19">
        <f t="shared" si="0"/>
        <v>4</v>
      </c>
      <c r="C19">
        <v>2019</v>
      </c>
      <c r="D19" s="4">
        <v>0</v>
      </c>
      <c r="E19" s="4">
        <v>1000000</v>
      </c>
      <c r="F19" s="4">
        <v>0</v>
      </c>
      <c r="G19" s="4">
        <v>0</v>
      </c>
      <c r="H19" s="4">
        <v>2000000</v>
      </c>
      <c r="I19" s="4">
        <f t="shared" si="12"/>
        <v>3000000</v>
      </c>
      <c r="J19" s="4"/>
      <c r="K19">
        <v>2019</v>
      </c>
      <c r="L19" s="4">
        <f t="shared" si="1"/>
        <v>0</v>
      </c>
      <c r="M19" s="4">
        <f t="shared" si="2"/>
        <v>1543344.2749999999</v>
      </c>
      <c r="N19" s="4">
        <f t="shared" si="3"/>
        <v>0</v>
      </c>
      <c r="O19" s="4">
        <f t="shared" si="4"/>
        <v>0</v>
      </c>
      <c r="P19" s="4">
        <f t="shared" si="5"/>
        <v>3086688.55</v>
      </c>
      <c r="Q19" s="4">
        <f t="shared" si="6"/>
        <v>4630032.8249999993</v>
      </c>
      <c r="S19">
        <v>2019</v>
      </c>
      <c r="T19" s="34">
        <v>0.03</v>
      </c>
      <c r="U19" s="34">
        <v>0.03</v>
      </c>
      <c r="V19" s="34">
        <v>0.03</v>
      </c>
      <c r="W19" s="34">
        <v>0.03</v>
      </c>
      <c r="X19" s="34">
        <v>0.03</v>
      </c>
      <c r="Z19">
        <v>2019</v>
      </c>
      <c r="AA19" s="12">
        <f t="shared" si="7"/>
        <v>1.5433442749999999</v>
      </c>
      <c r="AB19" s="12">
        <f t="shared" si="8"/>
        <v>1.5433442749999999</v>
      </c>
      <c r="AC19" s="12">
        <f t="shared" si="9"/>
        <v>1.5433442749999999</v>
      </c>
      <c r="AD19" s="12">
        <f t="shared" si="10"/>
        <v>1.5433442749999999</v>
      </c>
      <c r="AE19" s="12">
        <f t="shared" si="11"/>
        <v>1.5433442749999999</v>
      </c>
    </row>
    <row r="20" spans="2:31" x14ac:dyDescent="0.25">
      <c r="B20">
        <f t="shared" si="0"/>
        <v>3</v>
      </c>
      <c r="C20">
        <f>C18+1</f>
        <v>2020</v>
      </c>
      <c r="D20" s="4">
        <v>0</v>
      </c>
      <c r="E20" s="4">
        <v>13000000</v>
      </c>
      <c r="F20" s="4">
        <v>0</v>
      </c>
      <c r="G20" s="4">
        <v>0</v>
      </c>
      <c r="H20" s="4">
        <v>22000000</v>
      </c>
      <c r="I20" s="4">
        <f t="shared" si="12"/>
        <v>35000000</v>
      </c>
      <c r="J20" s="4"/>
      <c r="K20">
        <f>K18+1</f>
        <v>2020</v>
      </c>
      <c r="L20" s="4">
        <f t="shared" si="1"/>
        <v>0</v>
      </c>
      <c r="M20" s="4">
        <f t="shared" si="2"/>
        <v>19479102.499999996</v>
      </c>
      <c r="N20" s="4">
        <f t="shared" si="3"/>
        <v>0</v>
      </c>
      <c r="O20" s="4">
        <f t="shared" si="4"/>
        <v>0</v>
      </c>
      <c r="P20" s="4">
        <f t="shared" si="5"/>
        <v>32964634.999999996</v>
      </c>
      <c r="Q20" s="4">
        <f t="shared" si="6"/>
        <v>52443737.499999993</v>
      </c>
      <c r="S20">
        <f>S18+1</f>
        <v>2020</v>
      </c>
      <c r="T20" s="34">
        <v>0.03</v>
      </c>
      <c r="U20" s="34">
        <v>0.03</v>
      </c>
      <c r="V20" s="34">
        <v>0.03</v>
      </c>
      <c r="W20" s="34">
        <v>0.03</v>
      </c>
      <c r="X20" s="34">
        <v>0.03</v>
      </c>
      <c r="Z20">
        <f>Z18+1</f>
        <v>2020</v>
      </c>
      <c r="AA20" s="12">
        <f t="shared" si="7"/>
        <v>1.4983924999999998</v>
      </c>
      <c r="AB20" s="12">
        <f t="shared" si="8"/>
        <v>1.4983924999999998</v>
      </c>
      <c r="AC20" s="12">
        <f t="shared" si="9"/>
        <v>1.4983924999999998</v>
      </c>
      <c r="AD20" s="12">
        <f t="shared" si="10"/>
        <v>1.4983924999999998</v>
      </c>
      <c r="AE20" s="12">
        <f t="shared" si="11"/>
        <v>1.4983924999999998</v>
      </c>
    </row>
    <row r="21" spans="2:31" x14ac:dyDescent="0.25">
      <c r="B21">
        <f t="shared" si="0"/>
        <v>3</v>
      </c>
      <c r="C21">
        <v>2020</v>
      </c>
      <c r="D21" s="4">
        <v>0</v>
      </c>
      <c r="E21" s="4">
        <v>1000000</v>
      </c>
      <c r="F21" s="4">
        <v>0</v>
      </c>
      <c r="G21" s="4">
        <v>0</v>
      </c>
      <c r="H21" s="4">
        <v>6000000</v>
      </c>
      <c r="I21" s="4">
        <f t="shared" si="12"/>
        <v>7000000</v>
      </c>
      <c r="J21" s="4"/>
      <c r="K21">
        <v>2020</v>
      </c>
      <c r="L21" s="4">
        <f t="shared" si="1"/>
        <v>0</v>
      </c>
      <c r="M21" s="4">
        <f t="shared" si="2"/>
        <v>1498392.4999999998</v>
      </c>
      <c r="N21" s="4">
        <f t="shared" si="3"/>
        <v>0</v>
      </c>
      <c r="O21" s="4">
        <f t="shared" si="4"/>
        <v>0</v>
      </c>
      <c r="P21" s="4">
        <f t="shared" si="5"/>
        <v>8990354.9999999981</v>
      </c>
      <c r="Q21" s="4">
        <f t="shared" si="6"/>
        <v>10488747.499999998</v>
      </c>
      <c r="S21">
        <v>2020</v>
      </c>
      <c r="T21" s="34">
        <v>0.03</v>
      </c>
      <c r="U21" s="34">
        <v>0.03</v>
      </c>
      <c r="V21" s="34">
        <v>0.03</v>
      </c>
      <c r="W21" s="34">
        <v>0.03</v>
      </c>
      <c r="X21" s="34">
        <v>0.03</v>
      </c>
      <c r="Z21">
        <v>2020</v>
      </c>
      <c r="AA21" s="12">
        <f t="shared" si="7"/>
        <v>1.4983924999999998</v>
      </c>
      <c r="AB21" s="12">
        <f t="shared" si="8"/>
        <v>1.4983924999999998</v>
      </c>
      <c r="AC21" s="12">
        <f t="shared" si="9"/>
        <v>1.4983924999999998</v>
      </c>
      <c r="AD21" s="12">
        <f t="shared" si="10"/>
        <v>1.4983924999999998</v>
      </c>
      <c r="AE21" s="12">
        <f t="shared" si="11"/>
        <v>1.4983924999999998</v>
      </c>
    </row>
    <row r="22" spans="2:31" x14ac:dyDescent="0.25">
      <c r="B22">
        <f t="shared" si="0"/>
        <v>3</v>
      </c>
      <c r="C22">
        <v>2020</v>
      </c>
      <c r="D22" s="4">
        <v>0</v>
      </c>
      <c r="E22" s="4">
        <v>0</v>
      </c>
      <c r="F22" s="4">
        <v>0</v>
      </c>
      <c r="G22" s="4">
        <v>0</v>
      </c>
      <c r="H22" s="4">
        <v>11000000</v>
      </c>
      <c r="I22" s="4">
        <f t="shared" si="12"/>
        <v>11000000</v>
      </c>
      <c r="J22" s="4"/>
      <c r="K22">
        <v>2020</v>
      </c>
      <c r="L22" s="4">
        <f t="shared" si="1"/>
        <v>0</v>
      </c>
      <c r="M22" s="4">
        <f t="shared" si="2"/>
        <v>0</v>
      </c>
      <c r="N22" s="4">
        <f t="shared" si="3"/>
        <v>0</v>
      </c>
      <c r="O22" s="4">
        <f t="shared" si="4"/>
        <v>0</v>
      </c>
      <c r="P22" s="4">
        <f t="shared" si="5"/>
        <v>16482317.499999998</v>
      </c>
      <c r="Q22" s="4">
        <f t="shared" si="6"/>
        <v>16482317.499999998</v>
      </c>
      <c r="S22">
        <v>2020</v>
      </c>
      <c r="T22" s="34">
        <v>0.03</v>
      </c>
      <c r="U22" s="34">
        <v>0.03</v>
      </c>
      <c r="V22" s="34">
        <v>0.03</v>
      </c>
      <c r="W22" s="34">
        <v>0.03</v>
      </c>
      <c r="X22" s="34">
        <v>0.03</v>
      </c>
      <c r="Z22">
        <v>2020</v>
      </c>
      <c r="AA22" s="12">
        <f t="shared" si="7"/>
        <v>1.4983924999999998</v>
      </c>
      <c r="AB22" s="12">
        <f t="shared" si="8"/>
        <v>1.4983924999999998</v>
      </c>
      <c r="AC22" s="12">
        <f t="shared" si="9"/>
        <v>1.4983924999999998</v>
      </c>
      <c r="AD22" s="12">
        <f t="shared" si="10"/>
        <v>1.4983924999999998</v>
      </c>
      <c r="AE22" s="12">
        <f t="shared" si="11"/>
        <v>1.4983924999999998</v>
      </c>
    </row>
    <row r="23" spans="2:31" x14ac:dyDescent="0.25">
      <c r="B23">
        <f t="shared" si="0"/>
        <v>2</v>
      </c>
      <c r="C23">
        <f>C20+1</f>
        <v>2021</v>
      </c>
      <c r="D23" s="4">
        <v>0</v>
      </c>
      <c r="E23" s="4">
        <v>0</v>
      </c>
      <c r="F23" s="4">
        <v>4000000</v>
      </c>
      <c r="G23" s="4">
        <v>0</v>
      </c>
      <c r="H23" s="4">
        <v>38000000</v>
      </c>
      <c r="I23" s="4">
        <f t="shared" si="12"/>
        <v>42000000</v>
      </c>
      <c r="J23" s="4"/>
      <c r="K23">
        <f>K20+1</f>
        <v>2021</v>
      </c>
      <c r="L23" s="4">
        <f t="shared" si="1"/>
        <v>0</v>
      </c>
      <c r="M23" s="4">
        <f t="shared" si="2"/>
        <v>0</v>
      </c>
      <c r="N23" s="4">
        <f t="shared" si="3"/>
        <v>5818999.9999999991</v>
      </c>
      <c r="O23" s="4">
        <f t="shared" si="4"/>
        <v>0</v>
      </c>
      <c r="P23" s="4">
        <f t="shared" si="5"/>
        <v>55280499.999999993</v>
      </c>
      <c r="Q23" s="4">
        <f t="shared" si="6"/>
        <v>61099499.999999993</v>
      </c>
      <c r="S23">
        <f>S20+1</f>
        <v>2021</v>
      </c>
      <c r="T23" s="34">
        <v>0.03</v>
      </c>
      <c r="U23" s="34">
        <v>0.03</v>
      </c>
      <c r="V23" s="34">
        <v>0.03</v>
      </c>
      <c r="W23" s="34">
        <v>0.03</v>
      </c>
      <c r="X23" s="34">
        <v>0.03</v>
      </c>
      <c r="Z23">
        <f>Z20+1</f>
        <v>2021</v>
      </c>
      <c r="AA23" s="12">
        <f t="shared" si="7"/>
        <v>1.4547499999999998</v>
      </c>
      <c r="AB23" s="12">
        <f t="shared" si="8"/>
        <v>1.4547499999999998</v>
      </c>
      <c r="AC23" s="12">
        <f t="shared" si="9"/>
        <v>1.4547499999999998</v>
      </c>
      <c r="AD23" s="12">
        <f t="shared" si="10"/>
        <v>1.4547499999999998</v>
      </c>
      <c r="AE23" s="12">
        <f t="shared" si="11"/>
        <v>1.4547499999999998</v>
      </c>
    </row>
    <row r="24" spans="2:31" x14ac:dyDescent="0.25">
      <c r="B24">
        <f t="shared" si="0"/>
        <v>2</v>
      </c>
      <c r="C24">
        <v>2021</v>
      </c>
      <c r="D24" s="4">
        <v>0</v>
      </c>
      <c r="E24" s="4">
        <v>0</v>
      </c>
      <c r="F24" s="4">
        <v>0</v>
      </c>
      <c r="G24" s="4">
        <v>0</v>
      </c>
      <c r="H24" s="4">
        <v>14000000</v>
      </c>
      <c r="I24" s="4">
        <f t="shared" si="12"/>
        <v>14000000</v>
      </c>
      <c r="J24" s="4"/>
      <c r="K24">
        <v>2021</v>
      </c>
      <c r="L24" s="4">
        <f t="shared" si="1"/>
        <v>0</v>
      </c>
      <c r="M24" s="4">
        <f t="shared" si="2"/>
        <v>0</v>
      </c>
      <c r="N24" s="4">
        <f t="shared" si="3"/>
        <v>0</v>
      </c>
      <c r="O24" s="4">
        <f t="shared" si="4"/>
        <v>0</v>
      </c>
      <c r="P24" s="4">
        <f t="shared" si="5"/>
        <v>20366499.999999996</v>
      </c>
      <c r="Q24" s="4">
        <f t="shared" si="6"/>
        <v>20366499.999999996</v>
      </c>
      <c r="S24">
        <v>2021</v>
      </c>
      <c r="T24" s="34">
        <v>0.15</v>
      </c>
      <c r="U24" s="34">
        <v>0.15</v>
      </c>
      <c r="V24" s="34">
        <v>0.15</v>
      </c>
      <c r="W24" s="34">
        <v>0.15</v>
      </c>
      <c r="X24" s="34">
        <v>0.15</v>
      </c>
      <c r="Z24">
        <v>2021</v>
      </c>
      <c r="AA24" s="12">
        <f>IF($S25=$S24,AA25,AA25*(1+T24))</f>
        <v>1.4547499999999998</v>
      </c>
      <c r="AB24" s="12">
        <f t="shared" si="8"/>
        <v>1.4547499999999998</v>
      </c>
      <c r="AC24" s="12">
        <f t="shared" si="9"/>
        <v>1.4547499999999998</v>
      </c>
      <c r="AD24" s="12">
        <f t="shared" si="10"/>
        <v>1.4547499999999998</v>
      </c>
      <c r="AE24" s="12">
        <f t="shared" si="11"/>
        <v>1.4547499999999998</v>
      </c>
    </row>
    <row r="25" spans="2:31" x14ac:dyDescent="0.25">
      <c r="B25">
        <f>2023-C25</f>
        <v>1</v>
      </c>
      <c r="C25">
        <f>C23+1</f>
        <v>2022</v>
      </c>
      <c r="D25" s="4">
        <v>4000000</v>
      </c>
      <c r="E25" s="4">
        <v>22000000</v>
      </c>
      <c r="F25" s="4">
        <v>8000000</v>
      </c>
      <c r="G25" s="4">
        <v>0</v>
      </c>
      <c r="H25" s="4">
        <v>13000000</v>
      </c>
      <c r="I25" s="4">
        <f t="shared" si="12"/>
        <v>47000000</v>
      </c>
      <c r="J25" s="4"/>
      <c r="K25">
        <f>K23+1</f>
        <v>2022</v>
      </c>
      <c r="L25" s="4">
        <f t="shared" si="1"/>
        <v>5060000</v>
      </c>
      <c r="M25" s="4">
        <f t="shared" si="2"/>
        <v>27829999.999999996</v>
      </c>
      <c r="N25" s="4">
        <f t="shared" si="3"/>
        <v>10120000</v>
      </c>
      <c r="O25" s="4">
        <f t="shared" si="4"/>
        <v>0</v>
      </c>
      <c r="P25" s="4">
        <f t="shared" si="5"/>
        <v>16444999.999999998</v>
      </c>
      <c r="Q25" s="4">
        <f t="shared" si="6"/>
        <v>59455000</v>
      </c>
      <c r="S25">
        <f>S23+1</f>
        <v>2022</v>
      </c>
      <c r="T25" s="34">
        <v>0.15</v>
      </c>
      <c r="U25" s="34">
        <v>0.15</v>
      </c>
      <c r="V25" s="34">
        <v>0.15</v>
      </c>
      <c r="W25" s="34">
        <v>0.15</v>
      </c>
      <c r="X25" s="34">
        <v>0.15</v>
      </c>
      <c r="Z25">
        <f>Z23+1</f>
        <v>2022</v>
      </c>
      <c r="AA25" s="12">
        <f>IF($S26=$S25,AA26,AA26*(1+T25))</f>
        <v>1.2649999999999999</v>
      </c>
      <c r="AB25" s="12">
        <f t="shared" ref="AB25" si="18">IF($S26=$S25,AB26,AB26*(1+U25))</f>
        <v>1.2649999999999999</v>
      </c>
      <c r="AC25" s="12">
        <f t="shared" ref="AC25" si="19">IF($S26=$S25,AC26,AC26*(1+V25))</f>
        <v>1.2649999999999999</v>
      </c>
      <c r="AD25" s="12">
        <f t="shared" ref="AD25" si="20">IF($S26=$S25,AD26,AD26*(1+W25))</f>
        <v>1.2649999999999999</v>
      </c>
      <c r="AE25" s="12">
        <f t="shared" ref="AE25" si="21">IF($S26=$S25,AE26,AE26*(1+X25))</f>
        <v>1.2649999999999999</v>
      </c>
    </row>
    <row r="26" spans="2:31" x14ac:dyDescent="0.25">
      <c r="C26" s="26" t="s">
        <v>4</v>
      </c>
      <c r="D26" s="27">
        <f t="shared" ref="D26:H26" si="22">SUM(D5:D25)</f>
        <v>84000000</v>
      </c>
      <c r="E26" s="27">
        <f t="shared" si="22"/>
        <v>49000000</v>
      </c>
      <c r="F26" s="27">
        <f t="shared" si="22"/>
        <v>61000000</v>
      </c>
      <c r="G26" s="27">
        <f t="shared" si="22"/>
        <v>2000000</v>
      </c>
      <c r="H26" s="27">
        <f t="shared" si="22"/>
        <v>153000000</v>
      </c>
      <c r="I26" s="27">
        <f>SUM(I5:I25)</f>
        <v>349000000</v>
      </c>
      <c r="J26" s="4"/>
      <c r="K26" s="26" t="s">
        <v>4</v>
      </c>
      <c r="L26" s="27">
        <f t="shared" ref="L26:P26" si="23">SUM(L5:L25)</f>
        <v>157402430.77172774</v>
      </c>
      <c r="M26" s="27">
        <f t="shared" si="23"/>
        <v>69904856.904822499</v>
      </c>
      <c r="N26" s="27">
        <f t="shared" si="23"/>
        <v>97254771.332574472</v>
      </c>
      <c r="O26" s="27">
        <f t="shared" si="23"/>
        <v>3796237.578351188</v>
      </c>
      <c r="P26" s="27">
        <f t="shared" si="23"/>
        <v>230720749.50270516</v>
      </c>
      <c r="Q26" s="27">
        <f>SUM(Q5:Q25)</f>
        <v>559079046.09018111</v>
      </c>
      <c r="S26">
        <v>2023</v>
      </c>
      <c r="T26" s="35">
        <v>0.1</v>
      </c>
      <c r="U26" s="35">
        <v>0.1</v>
      </c>
      <c r="V26" s="35">
        <v>0.1</v>
      </c>
      <c r="W26" s="35">
        <v>0.1</v>
      </c>
      <c r="X26" s="35">
        <v>0.1</v>
      </c>
      <c r="Z26">
        <f>Z24+1</f>
        <v>2022</v>
      </c>
      <c r="AA26" s="12">
        <f>(1+T26)</f>
        <v>1.1000000000000001</v>
      </c>
      <c r="AB26" s="12">
        <f t="shared" ref="AB26" si="24">(1+U26)</f>
        <v>1.1000000000000001</v>
      </c>
      <c r="AC26" s="12">
        <f t="shared" ref="AC26" si="25">(1+V26)</f>
        <v>1.1000000000000001</v>
      </c>
      <c r="AD26" s="12">
        <f t="shared" ref="AD26" si="26">(1+W26)</f>
        <v>1.1000000000000001</v>
      </c>
      <c r="AE26" s="12">
        <f t="shared" ref="AE26" si="27">(1+X26)</f>
        <v>1.1000000000000001</v>
      </c>
    </row>
    <row r="27" spans="2:31" x14ac:dyDescent="0.25">
      <c r="C27" s="1"/>
      <c r="D27" s="4"/>
      <c r="E27" s="4"/>
      <c r="F27" s="4"/>
      <c r="G27" s="4"/>
      <c r="H27" s="4"/>
      <c r="I27" s="4"/>
      <c r="J27" s="4"/>
      <c r="K27" s="1"/>
      <c r="L27" s="4"/>
      <c r="M27" s="4"/>
      <c r="N27" s="4"/>
      <c r="O27" s="4"/>
      <c r="P27" s="4"/>
      <c r="Q27" s="4"/>
      <c r="S27" s="1"/>
      <c r="T27" s="4"/>
      <c r="U27" s="4"/>
      <c r="V27" s="4"/>
      <c r="W27" s="4"/>
      <c r="X27" s="4"/>
      <c r="Z27" s="1"/>
      <c r="AA27" s="4"/>
      <c r="AB27" s="4"/>
      <c r="AC27" s="4"/>
      <c r="AD27" s="4"/>
      <c r="AE27" s="4"/>
    </row>
    <row r="28" spans="2:31" x14ac:dyDescent="0.25">
      <c r="C28" s="16" t="s">
        <v>60</v>
      </c>
      <c r="D28" s="16"/>
      <c r="E28" s="16"/>
      <c r="F28" s="16"/>
      <c r="G28" s="16"/>
      <c r="H28" s="16"/>
      <c r="I28" s="16"/>
      <c r="K28" s="16" t="s">
        <v>52</v>
      </c>
      <c r="L28" s="16"/>
      <c r="M28" s="16"/>
      <c r="N28" s="16"/>
      <c r="O28" s="16"/>
      <c r="P28" s="16"/>
      <c r="Q28" s="16"/>
      <c r="S28" s="1"/>
      <c r="Z28" s="1"/>
    </row>
    <row r="29" spans="2:31" x14ac:dyDescent="0.25">
      <c r="C29" s="18" t="s">
        <v>45</v>
      </c>
      <c r="D29" s="18" t="s">
        <v>41</v>
      </c>
      <c r="E29" s="18" t="s">
        <v>40</v>
      </c>
      <c r="F29" s="18" t="s">
        <v>39</v>
      </c>
      <c r="G29" s="18" t="s">
        <v>38</v>
      </c>
      <c r="H29" s="18" t="s">
        <v>37</v>
      </c>
      <c r="I29" s="18" t="s">
        <v>36</v>
      </c>
      <c r="K29" s="18" t="s">
        <v>45</v>
      </c>
      <c r="L29" s="18" t="s">
        <v>41</v>
      </c>
      <c r="M29" s="18" t="s">
        <v>40</v>
      </c>
      <c r="N29" s="18" t="s">
        <v>39</v>
      </c>
      <c r="O29" s="18" t="s">
        <v>38</v>
      </c>
      <c r="P29" s="18" t="s">
        <v>37</v>
      </c>
      <c r="Q29" s="18" t="s">
        <v>36</v>
      </c>
      <c r="S29" s="1"/>
      <c r="Z29" s="1"/>
    </row>
    <row r="30" spans="2:31" x14ac:dyDescent="0.25">
      <c r="C30" s="1">
        <v>15</v>
      </c>
      <c r="D30" s="13">
        <f>SUM(D$5:D$25)/$C30</f>
        <v>5600000</v>
      </c>
      <c r="E30" s="13">
        <f t="shared" ref="E30:H30" si="28">SUM(E$5:E$25)/$C30</f>
        <v>3266666.6666666665</v>
      </c>
      <c r="F30" s="13">
        <f t="shared" si="28"/>
        <v>4066666.6666666665</v>
      </c>
      <c r="G30" s="13">
        <f t="shared" si="28"/>
        <v>133333.33333333334</v>
      </c>
      <c r="H30" s="13">
        <f t="shared" si="28"/>
        <v>10200000</v>
      </c>
      <c r="I30" s="4">
        <f>AVERAGE(I5:I25)</f>
        <v>16619047.619047619</v>
      </c>
      <c r="J30" s="4"/>
      <c r="K30" s="1">
        <v>15</v>
      </c>
      <c r="L30" s="4">
        <f t="shared" ref="L30:P30" si="29">AVERAGE(L5:L25)</f>
        <v>7495353.8462727498</v>
      </c>
      <c r="M30" s="4">
        <f t="shared" si="29"/>
        <v>3328802.7097534523</v>
      </c>
      <c r="N30" s="4">
        <f t="shared" si="29"/>
        <v>4631179.5872654514</v>
      </c>
      <c r="O30" s="4">
        <f t="shared" si="29"/>
        <v>180773.21801672323</v>
      </c>
      <c r="P30" s="4">
        <f t="shared" si="29"/>
        <v>10986702.357271675</v>
      </c>
      <c r="Q30" s="4">
        <f>AVERAGE(Q5:Q25)</f>
        <v>26622811.718580052</v>
      </c>
      <c r="S30" s="1"/>
      <c r="T30" s="4"/>
      <c r="U30" s="4"/>
      <c r="V30" s="4"/>
      <c r="W30" s="4"/>
      <c r="X30" s="4"/>
      <c r="Z30" s="1"/>
      <c r="AA30" s="4"/>
      <c r="AB30" s="4"/>
      <c r="AC30" s="4"/>
      <c r="AD30" s="4"/>
      <c r="AE30" s="4"/>
    </row>
    <row r="31" spans="2:31" x14ac:dyDescent="0.25">
      <c r="C31" s="1">
        <v>10</v>
      </c>
      <c r="D31" s="13">
        <f>SUM(D$10:D$25)/$C31</f>
        <v>4600000</v>
      </c>
      <c r="E31" s="13">
        <f t="shared" ref="E31:H31" si="30">SUM(E$10:E$25)/$C31</f>
        <v>4900000</v>
      </c>
      <c r="F31" s="13">
        <f t="shared" si="30"/>
        <v>5800000</v>
      </c>
      <c r="G31" s="13">
        <f t="shared" si="30"/>
        <v>0</v>
      </c>
      <c r="H31" s="13">
        <f t="shared" si="30"/>
        <v>15100000</v>
      </c>
      <c r="I31" s="4">
        <f>AVERAGE(I10:I25)</f>
        <v>19000000</v>
      </c>
      <c r="J31" s="4"/>
      <c r="K31" s="1">
        <v>10</v>
      </c>
      <c r="L31" s="4">
        <f t="shared" ref="L31:P31" si="31">AVERAGE(L10:L25)</f>
        <v>4763822.0515792817</v>
      </c>
      <c r="M31" s="4">
        <f t="shared" si="31"/>
        <v>4369053.5565514062</v>
      </c>
      <c r="N31" s="4">
        <f t="shared" si="31"/>
        <v>5689524.6488847528</v>
      </c>
      <c r="O31" s="4">
        <f t="shared" si="31"/>
        <v>0</v>
      </c>
      <c r="P31" s="4">
        <f t="shared" si="31"/>
        <v>14168332.565989524</v>
      </c>
      <c r="Q31" s="4">
        <f>AVERAGE(Q10:Q25)</f>
        <v>28990732.823004961</v>
      </c>
      <c r="S31" s="1"/>
      <c r="T31" s="4"/>
      <c r="U31" s="4"/>
      <c r="V31" s="4"/>
      <c r="W31" s="4"/>
      <c r="X31" s="4"/>
      <c r="Z31" s="1"/>
      <c r="AA31" s="4"/>
      <c r="AB31" s="4"/>
      <c r="AC31" s="4"/>
      <c r="AD31" s="4"/>
      <c r="AE31" s="4"/>
    </row>
    <row r="32" spans="2:31" x14ac:dyDescent="0.25">
      <c r="C32" s="1">
        <v>7</v>
      </c>
      <c r="D32" s="13">
        <f>SUM(D$13:D$25)/$C32</f>
        <v>3142857.1428571427</v>
      </c>
      <c r="E32" s="13">
        <f t="shared" ref="E32:H32" si="32">SUM(E$13:E$25)/$C32</f>
        <v>7000000</v>
      </c>
      <c r="F32" s="13">
        <f t="shared" si="32"/>
        <v>8142857.1428571427</v>
      </c>
      <c r="G32" s="13">
        <f t="shared" si="32"/>
        <v>0</v>
      </c>
      <c r="H32" s="13">
        <f t="shared" si="32"/>
        <v>21285714.285714287</v>
      </c>
      <c r="I32" s="4">
        <f>AVERAGE(I13:I25)</f>
        <v>21307692.307692308</v>
      </c>
      <c r="J32" s="4"/>
      <c r="K32" s="1">
        <v>7</v>
      </c>
      <c r="L32" s="4">
        <f t="shared" ref="L32:P32" si="33">AVERAGE(L13:L25)</f>
        <v>2656308.5341734616</v>
      </c>
      <c r="M32" s="4">
        <f t="shared" si="33"/>
        <v>5377296.6849863464</v>
      </c>
      <c r="N32" s="4">
        <f t="shared" si="33"/>
        <v>6864864.2597253229</v>
      </c>
      <c r="O32" s="4">
        <f t="shared" si="33"/>
        <v>0</v>
      </c>
      <c r="P32" s="4">
        <f t="shared" si="33"/>
        <v>17166701.11321</v>
      </c>
      <c r="Q32" s="4">
        <f>AVERAGE(Q13:Q25)</f>
        <v>32065170.592095129</v>
      </c>
      <c r="S32" s="1"/>
      <c r="T32" s="4"/>
      <c r="U32" s="4"/>
      <c r="V32" s="4"/>
      <c r="W32" s="4"/>
      <c r="X32" s="4"/>
      <c r="Z32" s="1"/>
      <c r="AA32" s="4"/>
      <c r="AB32" s="4"/>
      <c r="AC32" s="4"/>
      <c r="AD32" s="4"/>
      <c r="AE32" s="4"/>
    </row>
    <row r="33" spans="3:31" x14ac:dyDescent="0.25">
      <c r="C33" s="1">
        <v>5</v>
      </c>
      <c r="D33" s="13">
        <f>SUM(D$17:D$25)/$C33</f>
        <v>800000</v>
      </c>
      <c r="E33" s="13">
        <f t="shared" ref="E33:H33" si="34">SUM(E$17:E$25)/$C33</f>
        <v>7600000</v>
      </c>
      <c r="F33" s="13">
        <f t="shared" si="34"/>
        <v>4800000</v>
      </c>
      <c r="G33" s="13">
        <f t="shared" si="34"/>
        <v>0</v>
      </c>
      <c r="H33" s="13">
        <f t="shared" si="34"/>
        <v>21800000</v>
      </c>
      <c r="I33" s="4">
        <f>AVERAGE(I17:I25)</f>
        <v>19444444.444444444</v>
      </c>
      <c r="J33" s="4"/>
      <c r="K33" s="1">
        <v>5</v>
      </c>
      <c r="L33" s="4">
        <f t="shared" ref="L33:P33" si="35">AVERAGE(L17:L25)</f>
        <v>562222.22222222225</v>
      </c>
      <c r="M33" s="4">
        <f t="shared" si="35"/>
        <v>5766020.3944444442</v>
      </c>
      <c r="N33" s="4">
        <f t="shared" si="35"/>
        <v>3890526.1376666669</v>
      </c>
      <c r="O33" s="4">
        <f t="shared" si="35"/>
        <v>0</v>
      </c>
      <c r="P33" s="4">
        <f t="shared" si="35"/>
        <v>17582892.097222224</v>
      </c>
      <c r="Q33" s="4">
        <f>AVERAGE(Q17:Q25)</f>
        <v>27801660.851555552</v>
      </c>
      <c r="S33" s="1"/>
      <c r="T33" s="4"/>
      <c r="U33" s="4"/>
      <c r="V33" s="4"/>
      <c r="W33" s="4"/>
      <c r="X33" s="4"/>
      <c r="Z33" s="1"/>
      <c r="AA33" s="4"/>
      <c r="AB33" s="4"/>
      <c r="AC33" s="4"/>
      <c r="AD33" s="4"/>
      <c r="AE33" s="4"/>
    </row>
    <row r="35" spans="3:31" x14ac:dyDescent="0.25">
      <c r="C35" s="16" t="s">
        <v>61</v>
      </c>
      <c r="D35" s="16"/>
      <c r="E35" s="16"/>
      <c r="F35" s="16"/>
      <c r="G35" s="16"/>
      <c r="H35" s="16"/>
      <c r="I35" s="16"/>
      <c r="K35" s="16" t="s">
        <v>51</v>
      </c>
      <c r="L35" s="16"/>
      <c r="M35" s="16"/>
      <c r="N35" s="16"/>
      <c r="O35" s="16"/>
      <c r="P35" s="16"/>
      <c r="Q35" s="16"/>
      <c r="S35" s="1"/>
      <c r="Z35" s="1"/>
    </row>
    <row r="36" spans="3:31" x14ac:dyDescent="0.25">
      <c r="C36" s="18" t="s">
        <v>45</v>
      </c>
      <c r="D36" s="18" t="s">
        <v>41</v>
      </c>
      <c r="E36" s="18" t="s">
        <v>40</v>
      </c>
      <c r="F36" s="18" t="s">
        <v>39</v>
      </c>
      <c r="G36" s="18" t="s">
        <v>38</v>
      </c>
      <c r="H36" s="18" t="s">
        <v>37</v>
      </c>
      <c r="I36" s="18" t="s">
        <v>36</v>
      </c>
      <c r="K36" s="18" t="s">
        <v>45</v>
      </c>
      <c r="L36" s="18" t="s">
        <v>41</v>
      </c>
      <c r="M36" s="18" t="s">
        <v>40</v>
      </c>
      <c r="N36" s="18" t="s">
        <v>39</v>
      </c>
      <c r="O36" s="18" t="s">
        <v>38</v>
      </c>
      <c r="P36" s="18" t="s">
        <v>37</v>
      </c>
      <c r="Q36" s="18" t="s">
        <v>36</v>
      </c>
      <c r="S36" s="1"/>
      <c r="Z36" s="1"/>
    </row>
    <row r="37" spans="3:31" x14ac:dyDescent="0.25">
      <c r="C37" s="1">
        <v>15</v>
      </c>
      <c r="D37" s="6">
        <f>IFERROR(_xlfn.STDEV.P(D44:D58)/D30, 0)</f>
        <v>2.0042471910223769</v>
      </c>
      <c r="E37" s="6">
        <f t="shared" ref="E37:H37" si="36">IFERROR(_xlfn.STDEV.P(E44:E58)/E30, 0)</f>
        <v>2.0072753968876409</v>
      </c>
      <c r="F37" s="6">
        <f t="shared" si="36"/>
        <v>1.8433695471305702</v>
      </c>
      <c r="G37" s="6">
        <f t="shared" si="36"/>
        <v>3.7416573867739409</v>
      </c>
      <c r="H37" s="6">
        <f t="shared" si="36"/>
        <v>1.6913588042279031</v>
      </c>
      <c r="I37" s="6">
        <f t="shared" ref="I37" si="37">IFERROR(_xlfn.STDEV.P(I44:I58)/I30, 0)</f>
        <v>1.697440744060613</v>
      </c>
      <c r="J37" s="5"/>
      <c r="K37" s="1">
        <v>15</v>
      </c>
      <c r="L37" s="6">
        <f>IFERROR(_xlfn.STDEV.P(L44:L58)/L30, 0)</f>
        <v>2.9973370195067299</v>
      </c>
      <c r="M37" s="6">
        <f t="shared" ref="M37:Q37" si="38">IFERROR(_xlfn.STDEV.P(M44:M58)/M30, 0)</f>
        <v>2.7122250635216636</v>
      </c>
      <c r="N37" s="6">
        <f t="shared" si="38"/>
        <v>2.6219132424504314</v>
      </c>
      <c r="O37" s="6">
        <f t="shared" si="38"/>
        <v>5.2383203414835178</v>
      </c>
      <c r="P37" s="6">
        <f t="shared" si="38"/>
        <v>2.3683349234544915</v>
      </c>
      <c r="Q37" s="6">
        <f t="shared" si="38"/>
        <v>1.6878720888655612</v>
      </c>
      <c r="S37" s="1"/>
      <c r="T37" s="5"/>
      <c r="U37" s="5"/>
      <c r="V37" s="5"/>
      <c r="W37" s="5"/>
      <c r="X37" s="5"/>
      <c r="Z37" s="1"/>
      <c r="AA37" s="5"/>
      <c r="AB37" s="5"/>
      <c r="AC37" s="5"/>
      <c r="AD37" s="5"/>
      <c r="AE37" s="5"/>
    </row>
    <row r="38" spans="3:31" x14ac:dyDescent="0.25">
      <c r="C38" s="1">
        <v>10</v>
      </c>
      <c r="D38" s="6">
        <f>IFERROR(_xlfn.STDEV.P(D49:D58)/D31, 0)</f>
        <v>1.8245335007267207</v>
      </c>
      <c r="E38" s="6">
        <f t="shared" ref="E38:H38" si="39">IFERROR(_xlfn.STDEV.P(E49:E58)/E31, 0)</f>
        <v>1.533874075437841</v>
      </c>
      <c r="F38" s="6">
        <f t="shared" si="39"/>
        <v>1.4887609065464071</v>
      </c>
      <c r="G38" s="6">
        <f t="shared" si="39"/>
        <v>0</v>
      </c>
      <c r="H38" s="6">
        <f t="shared" si="39"/>
        <v>1.2808878384403017</v>
      </c>
      <c r="I38" s="6">
        <f t="shared" ref="I38" si="40">IFERROR(_xlfn.STDEV.P(I49:I58)/I31, 0)</f>
        <v>1.60973492768099</v>
      </c>
      <c r="J38" s="5"/>
      <c r="K38" s="1">
        <v>10</v>
      </c>
      <c r="L38" s="6">
        <f>IFERROR(_xlfn.STDEV.P(L49:L58)/L31, 0)</f>
        <v>3.0064273539651367</v>
      </c>
      <c r="M38" s="6">
        <f t="shared" ref="M38:Q38" si="41">IFERROR(_xlfn.STDEV.P(M49:M58)/M31, 0)</f>
        <v>2.3562755890596603</v>
      </c>
      <c r="N38" s="6">
        <f t="shared" si="41"/>
        <v>2.4699237765071298</v>
      </c>
      <c r="O38" s="6">
        <f t="shared" si="41"/>
        <v>0</v>
      </c>
      <c r="P38" s="6">
        <f t="shared" si="41"/>
        <v>2.0637062554036558</v>
      </c>
      <c r="Q38" s="6">
        <f t="shared" si="41"/>
        <v>1.6524967580015564</v>
      </c>
      <c r="S38" s="1"/>
      <c r="T38" s="5"/>
      <c r="U38" s="5"/>
      <c r="V38" s="5"/>
      <c r="W38" s="5"/>
      <c r="X38" s="5"/>
      <c r="Z38" s="1"/>
      <c r="AA38" s="5"/>
      <c r="AB38" s="5"/>
      <c r="AC38" s="5"/>
      <c r="AD38" s="5"/>
      <c r="AE38" s="5"/>
    </row>
    <row r="39" spans="3:31" x14ac:dyDescent="0.25">
      <c r="C39" s="1">
        <v>7</v>
      </c>
      <c r="D39" s="6">
        <f>IFERROR(_xlfn.STDEV.P(D52:D58)/D32, 0)</f>
        <v>1.9792310051888402</v>
      </c>
      <c r="E39" s="6">
        <f t="shared" ref="E39:H39" si="42">IFERROR(_xlfn.STDEV.P(E52:E58)/E32, 0)</f>
        <v>1.1605769149479943</v>
      </c>
      <c r="F39" s="6">
        <f t="shared" si="42"/>
        <v>1.1528331688383624</v>
      </c>
      <c r="G39" s="6">
        <f t="shared" si="42"/>
        <v>0</v>
      </c>
      <c r="H39" s="6">
        <f t="shared" si="42"/>
        <v>0.9475217129510386</v>
      </c>
      <c r="I39" s="6">
        <f t="shared" ref="I39" si="43">IFERROR(_xlfn.STDEV.P(I52:I58)/I32, 0)</f>
        <v>1.4847070610720026</v>
      </c>
      <c r="J39" s="5"/>
      <c r="K39" s="1">
        <v>7</v>
      </c>
      <c r="L39" s="6">
        <f>IFERROR(_xlfn.STDEV.P(L52:L58)/L32, 0)</f>
        <v>3.8282231162256082</v>
      </c>
      <c r="M39" s="6">
        <f t="shared" ref="M39:Q39" si="44">IFERROR(_xlfn.STDEV.P(M52:M58)/M32, 0)</f>
        <v>2.0497124053261619</v>
      </c>
      <c r="N39" s="6">
        <f t="shared" si="44"/>
        <v>2.2449182346702483</v>
      </c>
      <c r="O39" s="6">
        <f t="shared" si="44"/>
        <v>0</v>
      </c>
      <c r="P39" s="6">
        <f t="shared" si="44"/>
        <v>1.7842611950236498</v>
      </c>
      <c r="Q39" s="6">
        <f t="shared" si="44"/>
        <v>1.5702021952930261</v>
      </c>
      <c r="S39" s="1"/>
      <c r="T39" s="5"/>
      <c r="U39" s="5"/>
      <c r="V39" s="5"/>
      <c r="W39" s="5"/>
      <c r="X39" s="5"/>
      <c r="Z39" s="1"/>
      <c r="AA39" s="5"/>
      <c r="AB39" s="5"/>
      <c r="AC39" s="5"/>
      <c r="AD39" s="5"/>
      <c r="AE39" s="5"/>
    </row>
    <row r="40" spans="3:31" x14ac:dyDescent="0.25">
      <c r="C40" s="1">
        <v>5</v>
      </c>
      <c r="D40" s="6">
        <f>IFERROR(_xlfn.STDEV.P(D54:D58)/D33, 0)</f>
        <v>2</v>
      </c>
      <c r="E40" s="6">
        <f t="shared" ref="E40:H40" si="45">IFERROR(_xlfn.STDEV.P(E54:E58)/E33, 0)</f>
        <v>1.1697953037312037</v>
      </c>
      <c r="F40" s="6">
        <f t="shared" si="45"/>
        <v>0.97182531580755005</v>
      </c>
      <c r="G40" s="6">
        <f t="shared" si="45"/>
        <v>0</v>
      </c>
      <c r="H40" s="6">
        <f t="shared" si="45"/>
        <v>0.92719574261450555</v>
      </c>
      <c r="I40" s="6">
        <f t="shared" ref="I40" si="46">IFERROR(_xlfn.STDEV.P(I54:I58)/I33, 0)</f>
        <v>1.0841552716567975</v>
      </c>
      <c r="J40" s="5"/>
      <c r="K40" s="1">
        <v>5</v>
      </c>
      <c r="L40" s="6">
        <f>IFERROR(_xlfn.STDEV.P(L54:L58)/L33, 0)</f>
        <v>3.5999999999999996</v>
      </c>
      <c r="M40" s="6">
        <f t="shared" ref="M40:Q40" si="47">IFERROR(_xlfn.STDEV.P(M54:M58)/M33, 0)</f>
        <v>2.0306710198060602</v>
      </c>
      <c r="N40" s="6">
        <f t="shared" si="47"/>
        <v>1.8354235390698204</v>
      </c>
      <c r="O40" s="6">
        <f t="shared" si="47"/>
        <v>0</v>
      </c>
      <c r="P40" s="6">
        <f t="shared" si="47"/>
        <v>1.6984157838076619</v>
      </c>
      <c r="Q40" s="6">
        <f t="shared" si="47"/>
        <v>1.0715416434137301</v>
      </c>
      <c r="S40" s="1"/>
      <c r="T40" s="5"/>
      <c r="U40" s="5"/>
      <c r="V40" s="5"/>
      <c r="W40" s="5"/>
      <c r="X40" s="5"/>
      <c r="Z40" s="1"/>
      <c r="AA40" s="5"/>
      <c r="AB40" s="5"/>
      <c r="AC40" s="5"/>
      <c r="AD40" s="5"/>
      <c r="AE40" s="5"/>
    </row>
    <row r="42" spans="3:31" hidden="1" x14ac:dyDescent="0.25">
      <c r="C42" t="s">
        <v>48</v>
      </c>
      <c r="K42" t="s">
        <v>48</v>
      </c>
    </row>
    <row r="43" spans="3:31" hidden="1" x14ac:dyDescent="0.25">
      <c r="C43" t="s">
        <v>3</v>
      </c>
      <c r="K43" t="s">
        <v>3</v>
      </c>
    </row>
    <row r="44" spans="3:31" hidden="1" x14ac:dyDescent="0.25">
      <c r="C44">
        <v>2008</v>
      </c>
      <c r="D44" s="9">
        <f>SUMIFS(D$5:D$25, $C$5:$C$25, $C44)</f>
        <v>38000000</v>
      </c>
      <c r="E44" s="9">
        <f t="shared" ref="E44:I44" si="48">SUMIFS(E$5:E$25, $C$5:$C$25, $C44)</f>
        <v>0</v>
      </c>
      <c r="F44" s="9">
        <f t="shared" si="48"/>
        <v>0</v>
      </c>
      <c r="G44" s="9">
        <f t="shared" si="48"/>
        <v>0</v>
      </c>
      <c r="H44" s="9">
        <f t="shared" si="48"/>
        <v>0</v>
      </c>
      <c r="I44" s="9">
        <f t="shared" si="48"/>
        <v>38000000</v>
      </c>
      <c r="K44">
        <v>2008</v>
      </c>
      <c r="L44" s="9">
        <f>SUMIFS(L$5:L$25, $K$5:$K$25, $K44)</f>
        <v>81181277.946459234</v>
      </c>
      <c r="M44" s="9">
        <f t="shared" ref="M44:Q44" si="49">SUMIFS(M$5:M$25, $K$5:$K$25, $K44)</f>
        <v>0</v>
      </c>
      <c r="N44" s="9">
        <f t="shared" si="49"/>
        <v>0</v>
      </c>
      <c r="O44" s="9">
        <f t="shared" si="49"/>
        <v>0</v>
      </c>
      <c r="P44" s="9">
        <f t="shared" si="49"/>
        <v>0</v>
      </c>
      <c r="Q44" s="9">
        <f t="shared" si="49"/>
        <v>81181277.946459234</v>
      </c>
    </row>
    <row r="45" spans="3:31" hidden="1" x14ac:dyDescent="0.25">
      <c r="C45">
        <f>C44+1</f>
        <v>2009</v>
      </c>
      <c r="D45" s="9">
        <f t="shared" ref="D45:I58" si="50">SUMIFS(D$5:D$25, $C$5:$C$25, $C45)</f>
        <v>0</v>
      </c>
      <c r="E45" s="9">
        <f t="shared" si="50"/>
        <v>0</v>
      </c>
      <c r="F45" s="9">
        <f t="shared" si="50"/>
        <v>3000000</v>
      </c>
      <c r="G45" s="9">
        <f t="shared" si="50"/>
        <v>0</v>
      </c>
      <c r="H45" s="9">
        <f t="shared" si="50"/>
        <v>0</v>
      </c>
      <c r="I45" s="9">
        <f t="shared" si="50"/>
        <v>3000000</v>
      </c>
      <c r="K45">
        <f>K44+1</f>
        <v>2009</v>
      </c>
      <c r="L45" s="9">
        <f t="shared" ref="L45:Q58" si="51">SUMIFS(L$5:L$25, $K$5:$K$25, $K45)</f>
        <v>0</v>
      </c>
      <c r="M45" s="9">
        <f t="shared" si="51"/>
        <v>0</v>
      </c>
      <c r="N45" s="9">
        <f t="shared" si="51"/>
        <v>6222376.9504184388</v>
      </c>
      <c r="O45" s="9">
        <f t="shared" si="51"/>
        <v>0</v>
      </c>
      <c r="P45" s="9">
        <f t="shared" si="51"/>
        <v>0</v>
      </c>
      <c r="Q45" s="9">
        <f t="shared" si="51"/>
        <v>6222376.9504184388</v>
      </c>
    </row>
    <row r="46" spans="3:31" hidden="1" x14ac:dyDescent="0.25">
      <c r="C46">
        <f t="shared" ref="C46:C58" si="52">C45+1</f>
        <v>2010</v>
      </c>
      <c r="D46" s="9">
        <f t="shared" si="50"/>
        <v>0</v>
      </c>
      <c r="E46" s="9">
        <f t="shared" si="50"/>
        <v>0</v>
      </c>
      <c r="F46" s="9">
        <f t="shared" si="50"/>
        <v>0</v>
      </c>
      <c r="G46" s="9">
        <f t="shared" si="50"/>
        <v>0</v>
      </c>
      <c r="H46" s="9">
        <f t="shared" si="50"/>
        <v>2000000</v>
      </c>
      <c r="I46" s="9">
        <f t="shared" si="50"/>
        <v>2000000</v>
      </c>
      <c r="K46">
        <f t="shared" ref="K46:K58" si="53">K45+1</f>
        <v>2010</v>
      </c>
      <c r="L46" s="9">
        <f t="shared" si="51"/>
        <v>0</v>
      </c>
      <c r="M46" s="9">
        <f t="shared" si="51"/>
        <v>0</v>
      </c>
      <c r="N46" s="9">
        <f t="shared" si="51"/>
        <v>0</v>
      </c>
      <c r="O46" s="9">
        <f t="shared" si="51"/>
        <v>0</v>
      </c>
      <c r="P46" s="9">
        <f t="shared" si="51"/>
        <v>4027428.4468727759</v>
      </c>
      <c r="Q46" s="9">
        <f t="shared" si="51"/>
        <v>4027428.4468727759</v>
      </c>
    </row>
    <row r="47" spans="3:31" hidden="1" x14ac:dyDescent="0.25">
      <c r="C47">
        <f t="shared" si="52"/>
        <v>2011</v>
      </c>
      <c r="D47" s="9">
        <f t="shared" si="50"/>
        <v>0</v>
      </c>
      <c r="E47" s="9">
        <f t="shared" si="50"/>
        <v>0</v>
      </c>
      <c r="F47" s="9">
        <f t="shared" si="50"/>
        <v>0</v>
      </c>
      <c r="G47" s="9">
        <f t="shared" si="50"/>
        <v>0</v>
      </c>
      <c r="H47" s="9">
        <f t="shared" si="50"/>
        <v>0</v>
      </c>
      <c r="I47" s="9">
        <f t="shared" si="50"/>
        <v>0</v>
      </c>
      <c r="K47">
        <f t="shared" si="53"/>
        <v>2011</v>
      </c>
      <c r="L47" s="9">
        <f t="shared" si="51"/>
        <v>0</v>
      </c>
      <c r="M47" s="9">
        <f t="shared" si="51"/>
        <v>0</v>
      </c>
      <c r="N47" s="9">
        <f t="shared" si="51"/>
        <v>0</v>
      </c>
      <c r="O47" s="9">
        <f t="shared" si="51"/>
        <v>0</v>
      </c>
      <c r="P47" s="9">
        <f t="shared" si="51"/>
        <v>0</v>
      </c>
      <c r="Q47" s="9">
        <f t="shared" si="51"/>
        <v>0</v>
      </c>
    </row>
    <row r="48" spans="3:31" hidden="1" x14ac:dyDescent="0.25">
      <c r="C48">
        <f t="shared" si="52"/>
        <v>2012</v>
      </c>
      <c r="D48" s="9">
        <f t="shared" si="50"/>
        <v>0</v>
      </c>
      <c r="E48" s="9">
        <f t="shared" si="50"/>
        <v>0</v>
      </c>
      <c r="F48" s="9">
        <f t="shared" si="50"/>
        <v>0</v>
      </c>
      <c r="G48" s="9">
        <f t="shared" si="50"/>
        <v>2000000</v>
      </c>
      <c r="H48" s="9">
        <f t="shared" si="50"/>
        <v>0</v>
      </c>
      <c r="I48" s="9">
        <f t="shared" si="50"/>
        <v>2000000</v>
      </c>
      <c r="K48">
        <f t="shared" si="53"/>
        <v>2012</v>
      </c>
      <c r="L48" s="9">
        <f t="shared" si="51"/>
        <v>0</v>
      </c>
      <c r="M48" s="9">
        <f t="shared" si="51"/>
        <v>0</v>
      </c>
      <c r="N48" s="9">
        <f t="shared" si="51"/>
        <v>0</v>
      </c>
      <c r="O48" s="9">
        <f t="shared" si="51"/>
        <v>3796237.578351188</v>
      </c>
      <c r="P48" s="9">
        <f t="shared" si="51"/>
        <v>0</v>
      </c>
      <c r="Q48" s="9">
        <f t="shared" si="51"/>
        <v>3796237.578351188</v>
      </c>
    </row>
    <row r="49" spans="3:17" hidden="1" x14ac:dyDescent="0.25">
      <c r="C49">
        <f t="shared" si="52"/>
        <v>2013</v>
      </c>
      <c r="D49" s="9">
        <f t="shared" si="50"/>
        <v>0</v>
      </c>
      <c r="E49" s="9">
        <f t="shared" si="50"/>
        <v>0</v>
      </c>
      <c r="F49" s="9">
        <f t="shared" si="50"/>
        <v>0</v>
      </c>
      <c r="G49" s="9">
        <f t="shared" si="50"/>
        <v>0</v>
      </c>
      <c r="H49" s="9">
        <f t="shared" si="50"/>
        <v>0</v>
      </c>
      <c r="I49" s="9">
        <f t="shared" si="50"/>
        <v>0</v>
      </c>
      <c r="K49">
        <f t="shared" si="53"/>
        <v>2013</v>
      </c>
      <c r="L49" s="9">
        <f t="shared" si="51"/>
        <v>0</v>
      </c>
      <c r="M49" s="9">
        <f t="shared" si="51"/>
        <v>0</v>
      </c>
      <c r="N49" s="9">
        <f t="shared" si="51"/>
        <v>0</v>
      </c>
      <c r="O49" s="9">
        <f t="shared" si="51"/>
        <v>0</v>
      </c>
      <c r="P49" s="9">
        <f t="shared" si="51"/>
        <v>0</v>
      </c>
      <c r="Q49" s="9">
        <f t="shared" si="51"/>
        <v>0</v>
      </c>
    </row>
    <row r="50" spans="3:17" hidden="1" x14ac:dyDescent="0.25">
      <c r="C50">
        <f t="shared" si="52"/>
        <v>2014</v>
      </c>
      <c r="D50" s="9">
        <f t="shared" si="50"/>
        <v>0</v>
      </c>
      <c r="E50" s="9">
        <f t="shared" si="50"/>
        <v>0</v>
      </c>
      <c r="F50" s="9">
        <f t="shared" si="50"/>
        <v>1000000</v>
      </c>
      <c r="G50" s="9">
        <f t="shared" si="50"/>
        <v>0</v>
      </c>
      <c r="H50" s="9">
        <f t="shared" si="50"/>
        <v>1000000</v>
      </c>
      <c r="I50" s="9">
        <f t="shared" si="50"/>
        <v>2000000</v>
      </c>
      <c r="K50">
        <f t="shared" si="53"/>
        <v>2014</v>
      </c>
      <c r="L50" s="9">
        <f t="shared" si="51"/>
        <v>0</v>
      </c>
      <c r="M50" s="9">
        <f t="shared" si="51"/>
        <v>0</v>
      </c>
      <c r="N50" s="9">
        <f t="shared" si="51"/>
        <v>1789159.0057268299</v>
      </c>
      <c r="O50" s="9">
        <f t="shared" si="51"/>
        <v>0</v>
      </c>
      <c r="P50" s="9">
        <f t="shared" si="51"/>
        <v>1789159.0057268299</v>
      </c>
      <c r="Q50" s="9">
        <f t="shared" si="51"/>
        <v>3578318.0114536597</v>
      </c>
    </row>
    <row r="51" spans="3:17" hidden="1" x14ac:dyDescent="0.25">
      <c r="C51">
        <f t="shared" si="52"/>
        <v>2015</v>
      </c>
      <c r="D51" s="9">
        <f t="shared" si="50"/>
        <v>24000000</v>
      </c>
      <c r="E51" s="9">
        <f t="shared" si="50"/>
        <v>0</v>
      </c>
      <c r="F51" s="9">
        <f t="shared" si="50"/>
        <v>0</v>
      </c>
      <c r="G51" s="9">
        <f t="shared" si="50"/>
        <v>0</v>
      </c>
      <c r="H51" s="9">
        <f t="shared" si="50"/>
        <v>1000000</v>
      </c>
      <c r="I51" s="9">
        <f t="shared" si="50"/>
        <v>25000000</v>
      </c>
      <c r="K51">
        <f t="shared" si="53"/>
        <v>2015</v>
      </c>
      <c r="L51" s="9">
        <f t="shared" si="51"/>
        <v>41689141.881013513</v>
      </c>
      <c r="M51" s="9">
        <f t="shared" si="51"/>
        <v>0</v>
      </c>
      <c r="N51" s="9">
        <f t="shared" si="51"/>
        <v>0</v>
      </c>
      <c r="O51" s="9">
        <f t="shared" si="51"/>
        <v>0</v>
      </c>
      <c r="P51" s="9">
        <f t="shared" si="51"/>
        <v>1737047.578375563</v>
      </c>
      <c r="Q51" s="9">
        <f t="shared" si="51"/>
        <v>43426189.459389076</v>
      </c>
    </row>
    <row r="52" spans="3:17" hidden="1" x14ac:dyDescent="0.25">
      <c r="C52">
        <f t="shared" si="52"/>
        <v>2016</v>
      </c>
      <c r="D52" s="9">
        <f t="shared" si="50"/>
        <v>0</v>
      </c>
      <c r="E52" s="9">
        <f t="shared" si="50"/>
        <v>0</v>
      </c>
      <c r="F52" s="9">
        <f t="shared" si="50"/>
        <v>4000000</v>
      </c>
      <c r="G52" s="9">
        <f t="shared" si="50"/>
        <v>0</v>
      </c>
      <c r="H52" s="9">
        <f t="shared" si="50"/>
        <v>0</v>
      </c>
      <c r="I52" s="9">
        <f t="shared" si="50"/>
        <v>4000000</v>
      </c>
      <c r="K52">
        <f t="shared" si="53"/>
        <v>2016</v>
      </c>
      <c r="L52" s="9">
        <f t="shared" si="51"/>
        <v>0</v>
      </c>
      <c r="M52" s="9">
        <f t="shared" si="51"/>
        <v>0</v>
      </c>
      <c r="N52" s="9">
        <f t="shared" si="51"/>
        <v>6745815.8383517005</v>
      </c>
      <c r="O52" s="9">
        <f t="shared" si="51"/>
        <v>0</v>
      </c>
      <c r="P52" s="9">
        <f t="shared" si="51"/>
        <v>0</v>
      </c>
      <c r="Q52" s="9">
        <f t="shared" si="51"/>
        <v>6745815.8383517005</v>
      </c>
    </row>
    <row r="53" spans="3:17" hidden="1" x14ac:dyDescent="0.25">
      <c r="C53">
        <f t="shared" si="52"/>
        <v>2017</v>
      </c>
      <c r="D53" s="9">
        <f t="shared" si="50"/>
        <v>18000000</v>
      </c>
      <c r="E53" s="9">
        <f t="shared" si="50"/>
        <v>11000000</v>
      </c>
      <c r="F53" s="9">
        <f t="shared" si="50"/>
        <v>29000000</v>
      </c>
      <c r="G53" s="9">
        <f t="shared" si="50"/>
        <v>0</v>
      </c>
      <c r="H53" s="9">
        <f t="shared" si="50"/>
        <v>40000000</v>
      </c>
      <c r="I53" s="9">
        <f t="shared" si="50"/>
        <v>98000000</v>
      </c>
      <c r="K53">
        <f t="shared" si="53"/>
        <v>2017</v>
      </c>
      <c r="L53" s="9">
        <f t="shared" si="51"/>
        <v>29472010.944255002</v>
      </c>
      <c r="M53" s="9">
        <f t="shared" si="51"/>
        <v>18010673.354822502</v>
      </c>
      <c r="N53" s="9">
        <f t="shared" si="51"/>
        <v>47482684.299077503</v>
      </c>
      <c r="O53" s="9">
        <f t="shared" si="51"/>
        <v>0</v>
      </c>
      <c r="P53" s="9">
        <f t="shared" si="51"/>
        <v>64921085.596730001</v>
      </c>
      <c r="Q53" s="9">
        <f t="shared" si="51"/>
        <v>159886454.19488499</v>
      </c>
    </row>
    <row r="54" spans="3:17" hidden="1" x14ac:dyDescent="0.25">
      <c r="C54">
        <f t="shared" si="52"/>
        <v>2018</v>
      </c>
      <c r="D54" s="9">
        <f t="shared" si="50"/>
        <v>0</v>
      </c>
      <c r="E54" s="9">
        <f t="shared" si="50"/>
        <v>0</v>
      </c>
      <c r="F54" s="9">
        <f t="shared" si="50"/>
        <v>12000000</v>
      </c>
      <c r="G54" s="9">
        <f t="shared" si="50"/>
        <v>0</v>
      </c>
      <c r="H54" s="9">
        <f t="shared" si="50"/>
        <v>0</v>
      </c>
      <c r="I54" s="9">
        <f t="shared" si="50"/>
        <v>12000000</v>
      </c>
      <c r="K54">
        <f t="shared" si="53"/>
        <v>2018</v>
      </c>
      <c r="L54" s="9">
        <f t="shared" si="51"/>
        <v>0</v>
      </c>
      <c r="M54" s="9">
        <f t="shared" si="51"/>
        <v>0</v>
      </c>
      <c r="N54" s="9">
        <f t="shared" si="51"/>
        <v>19075735.239</v>
      </c>
      <c r="O54" s="9">
        <f t="shared" si="51"/>
        <v>0</v>
      </c>
      <c r="P54" s="9">
        <f t="shared" si="51"/>
        <v>0</v>
      </c>
      <c r="Q54" s="9">
        <f t="shared" si="51"/>
        <v>19075735.239</v>
      </c>
    </row>
    <row r="55" spans="3:17" hidden="1" x14ac:dyDescent="0.25">
      <c r="C55">
        <f t="shared" si="52"/>
        <v>2019</v>
      </c>
      <c r="D55" s="9">
        <f t="shared" si="50"/>
        <v>0</v>
      </c>
      <c r="E55" s="9">
        <f t="shared" si="50"/>
        <v>2000000</v>
      </c>
      <c r="F55" s="9">
        <f t="shared" si="50"/>
        <v>0</v>
      </c>
      <c r="G55" s="9">
        <f t="shared" si="50"/>
        <v>0</v>
      </c>
      <c r="H55" s="9">
        <f t="shared" si="50"/>
        <v>5000000</v>
      </c>
      <c r="I55" s="9">
        <f t="shared" si="50"/>
        <v>7000000</v>
      </c>
      <c r="K55">
        <f t="shared" si="53"/>
        <v>2019</v>
      </c>
      <c r="L55" s="9">
        <f t="shared" si="51"/>
        <v>0</v>
      </c>
      <c r="M55" s="9">
        <f t="shared" si="51"/>
        <v>3086688.55</v>
      </c>
      <c r="N55" s="9">
        <f t="shared" si="51"/>
        <v>0</v>
      </c>
      <c r="O55" s="9">
        <f t="shared" si="51"/>
        <v>0</v>
      </c>
      <c r="P55" s="9">
        <f t="shared" si="51"/>
        <v>7716721.375</v>
      </c>
      <c r="Q55" s="9">
        <f t="shared" si="51"/>
        <v>10803409.924999999</v>
      </c>
    </row>
    <row r="56" spans="3:17" hidden="1" x14ac:dyDescent="0.25">
      <c r="C56">
        <f t="shared" si="52"/>
        <v>2020</v>
      </c>
      <c r="D56" s="9">
        <f t="shared" si="50"/>
        <v>0</v>
      </c>
      <c r="E56" s="9">
        <f t="shared" si="50"/>
        <v>14000000</v>
      </c>
      <c r="F56" s="9">
        <f t="shared" si="50"/>
        <v>0</v>
      </c>
      <c r="G56" s="9">
        <f t="shared" si="50"/>
        <v>0</v>
      </c>
      <c r="H56" s="9">
        <f t="shared" si="50"/>
        <v>39000000</v>
      </c>
      <c r="I56" s="9">
        <f t="shared" si="50"/>
        <v>53000000</v>
      </c>
      <c r="K56">
        <f t="shared" si="53"/>
        <v>2020</v>
      </c>
      <c r="L56" s="9">
        <f t="shared" si="51"/>
        <v>0</v>
      </c>
      <c r="M56" s="9">
        <f t="shared" si="51"/>
        <v>20977494.999999996</v>
      </c>
      <c r="N56" s="9">
        <f t="shared" si="51"/>
        <v>0</v>
      </c>
      <c r="O56" s="9">
        <f t="shared" si="51"/>
        <v>0</v>
      </c>
      <c r="P56" s="9">
        <f t="shared" si="51"/>
        <v>58437307.499999993</v>
      </c>
      <c r="Q56" s="9">
        <f t="shared" si="51"/>
        <v>79414802.499999985</v>
      </c>
    </row>
    <row r="57" spans="3:17" hidden="1" x14ac:dyDescent="0.25">
      <c r="C57">
        <f t="shared" si="52"/>
        <v>2021</v>
      </c>
      <c r="D57" s="9">
        <f t="shared" si="50"/>
        <v>0</v>
      </c>
      <c r="E57" s="9">
        <f t="shared" si="50"/>
        <v>0</v>
      </c>
      <c r="F57" s="9">
        <f t="shared" si="50"/>
        <v>4000000</v>
      </c>
      <c r="G57" s="9">
        <f t="shared" si="50"/>
        <v>0</v>
      </c>
      <c r="H57" s="9">
        <f t="shared" si="50"/>
        <v>52000000</v>
      </c>
      <c r="I57" s="9">
        <f t="shared" si="50"/>
        <v>56000000</v>
      </c>
      <c r="K57">
        <f t="shared" si="53"/>
        <v>2021</v>
      </c>
      <c r="L57" s="9">
        <f t="shared" si="51"/>
        <v>0</v>
      </c>
      <c r="M57" s="9">
        <f t="shared" si="51"/>
        <v>0</v>
      </c>
      <c r="N57" s="9">
        <f t="shared" si="51"/>
        <v>5818999.9999999991</v>
      </c>
      <c r="O57" s="9">
        <f t="shared" si="51"/>
        <v>0</v>
      </c>
      <c r="P57" s="9">
        <f t="shared" si="51"/>
        <v>75646999.999999985</v>
      </c>
      <c r="Q57" s="9">
        <f t="shared" si="51"/>
        <v>81465999.999999985</v>
      </c>
    </row>
    <row r="58" spans="3:17" hidden="1" x14ac:dyDescent="0.25">
      <c r="C58">
        <f t="shared" si="52"/>
        <v>2022</v>
      </c>
      <c r="D58" s="9">
        <f t="shared" si="50"/>
        <v>4000000</v>
      </c>
      <c r="E58" s="9">
        <f t="shared" si="50"/>
        <v>22000000</v>
      </c>
      <c r="F58" s="9">
        <f t="shared" si="50"/>
        <v>8000000</v>
      </c>
      <c r="G58" s="9">
        <f t="shared" si="50"/>
        <v>0</v>
      </c>
      <c r="H58" s="9">
        <f t="shared" si="50"/>
        <v>13000000</v>
      </c>
      <c r="I58" s="9">
        <f t="shared" si="50"/>
        <v>47000000</v>
      </c>
      <c r="K58">
        <f t="shared" si="53"/>
        <v>2022</v>
      </c>
      <c r="L58" s="9">
        <f t="shared" si="51"/>
        <v>5060000</v>
      </c>
      <c r="M58" s="9">
        <f t="shared" si="51"/>
        <v>27829999.999999996</v>
      </c>
      <c r="N58" s="9">
        <f t="shared" si="51"/>
        <v>10120000</v>
      </c>
      <c r="O58" s="9">
        <f t="shared" si="51"/>
        <v>0</v>
      </c>
      <c r="P58" s="9">
        <f t="shared" si="51"/>
        <v>16444999.999999998</v>
      </c>
      <c r="Q58" s="9">
        <f t="shared" si="51"/>
        <v>59455000</v>
      </c>
    </row>
  </sheetData>
  <mergeCells count="4">
    <mergeCell ref="Z3:AE3"/>
    <mergeCell ref="S3:X3"/>
    <mergeCell ref="K3:Q3"/>
    <mergeCell ref="C3:I3"/>
  </mergeCells>
  <pageMargins left="0.25" right="0.25" top="0.75" bottom="0.75" header="0.3" footer="0.3"/>
  <pageSetup scale="73" fitToWidth="3" orientation="landscape" r:id="rId1"/>
  <headerFooter>
    <oddHeader>&amp;CBattleBots Extreme Pricing Challenge 2023 - Interactive Analysis</oddHeader>
    <oddFooter>&amp;R&amp;F
&amp;A</oddFooter>
  </headerFooter>
  <colBreaks count="1" manualBreakCount="1"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10470-58CD-4A95-A2A1-148A5F8C9F25}">
  <dimension ref="B1:AG64"/>
  <sheetViews>
    <sheetView showGridLines="0" topLeftCell="G1" zoomScaleNormal="100" workbookViewId="0">
      <selection activeCell="G1" sqref="G1"/>
    </sheetView>
  </sheetViews>
  <sheetFormatPr defaultRowHeight="15" x14ac:dyDescent="0.25"/>
  <cols>
    <col min="1" max="1" width="2" customWidth="1"/>
    <col min="2" max="2" width="5.5703125" hidden="1" customWidth="1"/>
    <col min="3" max="4" width="14.28515625" customWidth="1"/>
    <col min="5" max="5" width="3.28515625" customWidth="1"/>
    <col min="6" max="10" width="12.140625" customWidth="1"/>
    <col min="11" max="11" width="11.5703125" bestFit="1" customWidth="1"/>
    <col min="12" max="12" width="12.5703125" bestFit="1" customWidth="1"/>
    <col min="13" max="13" width="5.42578125" customWidth="1"/>
    <col min="14" max="20" width="12.140625" customWidth="1"/>
    <col min="21" max="21" width="4.85546875" customWidth="1"/>
    <col min="22" max="22" width="14.5703125" customWidth="1"/>
    <col min="23" max="28" width="12.28515625" customWidth="1"/>
    <col min="29" max="29" width="4.140625" customWidth="1"/>
    <col min="30" max="30" width="13.7109375" bestFit="1" customWidth="1"/>
    <col min="31" max="31" width="16.140625" customWidth="1"/>
  </cols>
  <sheetData>
    <row r="1" spans="2:33" x14ac:dyDescent="0.25">
      <c r="C1" s="20" t="s">
        <v>0</v>
      </c>
      <c r="D1" s="20"/>
      <c r="F1" s="20" t="s">
        <v>46</v>
      </c>
      <c r="G1" s="20"/>
      <c r="H1" s="20"/>
      <c r="I1" s="20"/>
      <c r="J1" s="20"/>
      <c r="K1" s="20"/>
      <c r="L1" s="20"/>
      <c r="N1" s="20" t="s">
        <v>47</v>
      </c>
      <c r="O1" s="20"/>
      <c r="P1" s="20"/>
      <c r="Q1" s="20"/>
      <c r="R1" s="20"/>
      <c r="S1" s="20"/>
      <c r="T1" s="20"/>
      <c r="V1" s="20" t="s">
        <v>35</v>
      </c>
      <c r="W1" s="20"/>
      <c r="X1" s="20"/>
      <c r="Y1" s="20"/>
      <c r="Z1" s="20"/>
      <c r="AA1" s="20"/>
      <c r="AB1" s="20"/>
      <c r="AC1" s="20"/>
      <c r="AD1" s="20"/>
      <c r="AE1" s="20"/>
    </row>
    <row r="2" spans="2:33" x14ac:dyDescent="0.25">
      <c r="F2" t="s">
        <v>22</v>
      </c>
      <c r="G2" s="9">
        <v>15000000</v>
      </c>
      <c r="N2" t="s">
        <v>22</v>
      </c>
      <c r="O2" s="9">
        <v>30000000</v>
      </c>
      <c r="V2" t="s">
        <v>25</v>
      </c>
      <c r="W2" s="9">
        <v>5000000</v>
      </c>
      <c r="AD2" t="s">
        <v>27</v>
      </c>
      <c r="AE2" s="9">
        <v>20000000</v>
      </c>
      <c r="AG2" s="21"/>
    </row>
    <row r="3" spans="2:33" x14ac:dyDescent="0.25">
      <c r="F3" t="s">
        <v>23</v>
      </c>
      <c r="G3" s="9">
        <v>15000000</v>
      </c>
      <c r="N3" t="s">
        <v>23</v>
      </c>
      <c r="O3" s="9">
        <v>30000000</v>
      </c>
      <c r="V3" t="s">
        <v>26</v>
      </c>
      <c r="W3" s="9">
        <v>10000000</v>
      </c>
      <c r="AD3" t="s">
        <v>28</v>
      </c>
      <c r="AE3" s="9">
        <v>50000000</v>
      </c>
    </row>
    <row r="4" spans="2:33" x14ac:dyDescent="0.25">
      <c r="W4" s="9"/>
    </row>
    <row r="5" spans="2:33" x14ac:dyDescent="0.25">
      <c r="C5" s="18"/>
      <c r="D5" s="18" t="s">
        <v>21</v>
      </c>
      <c r="F5" s="16" t="s">
        <v>49</v>
      </c>
      <c r="G5" s="16"/>
      <c r="H5" s="16"/>
      <c r="I5" s="16"/>
      <c r="J5" s="16"/>
      <c r="K5" s="16"/>
      <c r="L5" s="16"/>
      <c r="N5" s="16" t="s">
        <v>49</v>
      </c>
      <c r="O5" s="16"/>
      <c r="P5" s="16"/>
      <c r="Q5" s="16"/>
      <c r="R5" s="16"/>
      <c r="S5" s="16"/>
      <c r="T5" s="16"/>
      <c r="V5" s="16" t="s">
        <v>50</v>
      </c>
      <c r="W5" s="16"/>
      <c r="X5" s="16"/>
      <c r="Y5" s="16"/>
      <c r="Z5" s="16"/>
      <c r="AA5" s="16"/>
      <c r="AB5" s="16"/>
      <c r="AD5" s="16" t="s">
        <v>42</v>
      </c>
      <c r="AE5" s="16"/>
    </row>
    <row r="6" spans="2:33" x14ac:dyDescent="0.25">
      <c r="C6" s="18" t="s">
        <v>3</v>
      </c>
      <c r="D6" s="18" t="s">
        <v>0</v>
      </c>
      <c r="F6" s="18" t="s">
        <v>3</v>
      </c>
      <c r="G6" s="18" t="s">
        <v>41</v>
      </c>
      <c r="H6" s="18" t="s">
        <v>40</v>
      </c>
      <c r="I6" s="18" t="s">
        <v>39</v>
      </c>
      <c r="J6" s="18" t="s">
        <v>38</v>
      </c>
      <c r="K6" s="18" t="s">
        <v>37</v>
      </c>
      <c r="L6" s="18" t="s">
        <v>36</v>
      </c>
      <c r="N6" s="18" t="s">
        <v>3</v>
      </c>
      <c r="O6" s="18" t="s">
        <v>41</v>
      </c>
      <c r="P6" s="18" t="s">
        <v>40</v>
      </c>
      <c r="Q6" s="18" t="s">
        <v>39</v>
      </c>
      <c r="R6" s="18" t="s">
        <v>38</v>
      </c>
      <c r="S6" s="18" t="s">
        <v>37</v>
      </c>
      <c r="T6" s="18" t="s">
        <v>36</v>
      </c>
      <c r="V6" s="18" t="s">
        <v>3</v>
      </c>
      <c r="W6" s="18" t="s">
        <v>41</v>
      </c>
      <c r="X6" s="18" t="s">
        <v>40</v>
      </c>
      <c r="Y6" s="18" t="s">
        <v>39</v>
      </c>
      <c r="Z6" s="18" t="s">
        <v>38</v>
      </c>
      <c r="AA6" s="18" t="s">
        <v>37</v>
      </c>
      <c r="AB6" s="18" t="s">
        <v>36</v>
      </c>
      <c r="AD6" s="18" t="s">
        <v>3</v>
      </c>
      <c r="AE6" s="18" t="s">
        <v>36</v>
      </c>
    </row>
    <row r="7" spans="2:33" x14ac:dyDescent="0.25">
      <c r="B7">
        <f t="shared" ref="B7:B17" si="0">2023-C7</f>
        <v>15</v>
      </c>
      <c r="C7">
        <v>2008</v>
      </c>
      <c r="D7" s="9">
        <f>INDEX('Premium Trend'!$D$5:$D$19, MATCH(C7, 'Premium Trend'!$B$5:$B$19, 0))</f>
        <v>122333089.41102326</v>
      </c>
      <c r="F7">
        <v>2008</v>
      </c>
      <c r="G7" s="9">
        <f>MIN(MAX('Loss Trend'!L5-$G$2, 0), $G$3)*$D7/$D$28</f>
        <v>14115356.470502684</v>
      </c>
      <c r="H7" s="9">
        <f>MIN(MAX('Loss Trend'!M5-$G$2, 0), $G$3)*$D7/$D$28</f>
        <v>0</v>
      </c>
      <c r="I7" s="9">
        <f>MIN(MAX('Loss Trend'!N5-$G$2, 0), $G$3)*$D7/$D$28</f>
        <v>0</v>
      </c>
      <c r="J7" s="9">
        <f>MIN(MAX('Loss Trend'!O5-$G$2, 0), $G$3)*$D7/$D$28</f>
        <v>0</v>
      </c>
      <c r="K7" s="9">
        <f>MIN(MAX('Loss Trend'!P5-$G$2, 0), $G$3)*$D7/$D$28</f>
        <v>0</v>
      </c>
      <c r="L7" s="9">
        <f t="shared" ref="L7:L14" si="1">SUM(G7:K7)</f>
        <v>14115356.470502684</v>
      </c>
      <c r="M7" s="9"/>
      <c r="N7">
        <v>2008</v>
      </c>
      <c r="O7" s="9">
        <f>MIN(MAX('Loss Trend'!L5-$O$2, 0), $O$3)*$D7/$D$28</f>
        <v>28230712.941005368</v>
      </c>
      <c r="P7" s="9">
        <f>MIN(MAX('Loss Trend'!M5-$O$2, 0), $O$3)*$D7/$D$28</f>
        <v>0</v>
      </c>
      <c r="Q7" s="9">
        <f>MIN(MAX('Loss Trend'!N5-$O$2, 0), $O$3)*$D7/$D$28</f>
        <v>0</v>
      </c>
      <c r="R7" s="9">
        <f>MIN(MAX('Loss Trend'!O5-$O$2, 0), $O$3)*$D7/$D$28</f>
        <v>0</v>
      </c>
      <c r="S7" s="9">
        <f>MIN(MAX('Loss Trend'!P5-$O$2, 0), $O$3)*$D7/$D$28</f>
        <v>0</v>
      </c>
      <c r="T7" s="9">
        <f t="shared" ref="T7:T14" si="2">SUM(O7:S7)</f>
        <v>28230712.941005368</v>
      </c>
      <c r="V7">
        <v>2008</v>
      </c>
      <c r="W7" s="9">
        <f>MIN(MAX('Loss Trend'!L5-$W$2, 0), $W$3)*$D7/$D$28</f>
        <v>9410237.647001788</v>
      </c>
      <c r="X7" s="9">
        <f>MIN(MAX('Loss Trend'!M5-$W$2, 0), $W$3)*$D7/$D$28</f>
        <v>0</v>
      </c>
      <c r="Y7" s="9">
        <f>MIN(MAX('Loss Trend'!N5-$W$2, 0), $W$3)*$D7/$D$28</f>
        <v>0</v>
      </c>
      <c r="Z7" s="9">
        <f>MIN(MAX('Loss Trend'!O5-$W$2, 0), $W$3)*$D7/$D$28</f>
        <v>0</v>
      </c>
      <c r="AA7" s="9">
        <f>MIN(MAX('Loss Trend'!P5-$W$2, 0), $W$3)*$D7/$D$28</f>
        <v>0</v>
      </c>
      <c r="AB7" s="9">
        <f t="shared" ref="AB7:AB27" si="3">SUM(W7:AA7)</f>
        <v>9410237.647001788</v>
      </c>
      <c r="AD7" s="9"/>
      <c r="AE7" s="9"/>
    </row>
    <row r="8" spans="2:33" x14ac:dyDescent="0.25">
      <c r="B8">
        <f t="shared" si="0"/>
        <v>14</v>
      </c>
      <c r="C8">
        <v>2009</v>
      </c>
      <c r="D8" s="9">
        <f>INDEX('Premium Trend'!$D$5:$D$19, MATCH(C8, 'Premium Trend'!$B$5:$B$19, 0))</f>
        <v>129809775.80427496</v>
      </c>
      <c r="F8">
        <v>2009</v>
      </c>
      <c r="G8" s="9">
        <f>MIN(MAX('Loss Trend'!L6-$G$2, 0), $G$3)*$D8/$D$28</f>
        <v>0</v>
      </c>
      <c r="H8" s="9">
        <f>MIN(MAX('Loss Trend'!M6-$G$2, 0), $G$3)*$D8/$D$28</f>
        <v>0</v>
      </c>
      <c r="I8" s="9">
        <f>MIN(MAX('Loss Trend'!N6-$G$2, 0), $G$3)*$D8/$D$28</f>
        <v>0</v>
      </c>
      <c r="J8" s="9">
        <f>MIN(MAX('Loss Trend'!O6-$G$2, 0), $G$3)*$D8/$D$28</f>
        <v>0</v>
      </c>
      <c r="K8" s="9">
        <f>MIN(MAX('Loss Trend'!P6-$G$2, 0), $G$3)*$D8/$D$28</f>
        <v>0</v>
      </c>
      <c r="L8" s="9">
        <f t="shared" si="1"/>
        <v>0</v>
      </c>
      <c r="M8" s="9"/>
      <c r="N8">
        <v>2009</v>
      </c>
      <c r="O8" s="9">
        <f>MIN(MAX('Loss Trend'!L6-$O$2, 0), $O$3)*$D8/$D$28</f>
        <v>0</v>
      </c>
      <c r="P8" s="9">
        <f>MIN(MAX('Loss Trend'!M6-$O$2, 0), $O$3)*$D8/$D$28</f>
        <v>0</v>
      </c>
      <c r="Q8" s="9">
        <f>MIN(MAX('Loss Trend'!N6-$O$2, 0), $O$3)*$D8/$D$28</f>
        <v>0</v>
      </c>
      <c r="R8" s="9">
        <f>MIN(MAX('Loss Trend'!O6-$O$2, 0), $O$3)*$D8/$D$28</f>
        <v>0</v>
      </c>
      <c r="S8" s="9">
        <f>MIN(MAX('Loss Trend'!P6-$O$2, 0), $O$3)*$D8/$D$28</f>
        <v>0</v>
      </c>
      <c r="T8" s="9">
        <f t="shared" si="2"/>
        <v>0</v>
      </c>
      <c r="V8">
        <v>2009</v>
      </c>
      <c r="W8" s="9">
        <f>MIN(MAX('Loss Trend'!L6-$W$2, 0), $W$3)*$D8/$D$28</f>
        <v>0</v>
      </c>
      <c r="X8" s="9">
        <f>MIN(MAX('Loss Trend'!M6-$W$2, 0), $W$3)*$D8/$D$28</f>
        <v>0</v>
      </c>
      <c r="Y8" s="9">
        <f>MIN(MAX('Loss Trend'!N6-$W$2, 0), $W$3)*$D8/$D$28</f>
        <v>1220588.2914010067</v>
      </c>
      <c r="Z8" s="9">
        <f>MIN(MAX('Loss Trend'!O6-$W$2, 0), $W$3)*$D8/$D$28</f>
        <v>0</v>
      </c>
      <c r="AA8" s="9">
        <f>MIN(MAX('Loss Trend'!P6-$W$2, 0), $W$3)*$D8/$D$28</f>
        <v>0</v>
      </c>
      <c r="AB8" s="9">
        <f t="shared" si="3"/>
        <v>1220588.2914010067</v>
      </c>
      <c r="AD8" s="9"/>
      <c r="AE8" s="9"/>
    </row>
    <row r="9" spans="2:33" x14ac:dyDescent="0.25">
      <c r="B9">
        <f t="shared" si="0"/>
        <v>13</v>
      </c>
      <c r="C9">
        <v>2010</v>
      </c>
      <c r="D9" s="9">
        <f>INDEX('Premium Trend'!$D$5:$D$19, MATCH(C9, 'Premium Trend'!$B$5:$B$19, 0))</f>
        <v>136394565.49078929</v>
      </c>
      <c r="F9">
        <v>2010</v>
      </c>
      <c r="G9" s="9">
        <f>MIN(MAX('Loss Trend'!L7-$G$2, 0), $G$3)*$D9/$D$28</f>
        <v>0</v>
      </c>
      <c r="H9" s="9">
        <f>MIN(MAX('Loss Trend'!M7-$G$2, 0), $G$3)*$D9/$D$28</f>
        <v>0</v>
      </c>
      <c r="I9" s="9">
        <f>MIN(MAX('Loss Trend'!N7-$G$2, 0), $G$3)*$D9/$D$28</f>
        <v>0</v>
      </c>
      <c r="J9" s="9">
        <f>MIN(MAX('Loss Trend'!O7-$G$2, 0), $G$3)*$D9/$D$28</f>
        <v>0</v>
      </c>
      <c r="K9" s="9">
        <f>MIN(MAX('Loss Trend'!P7-$G$2, 0), $G$3)*$D9/$D$28</f>
        <v>0</v>
      </c>
      <c r="L9" s="9">
        <f t="shared" si="1"/>
        <v>0</v>
      </c>
      <c r="M9" s="9"/>
      <c r="N9">
        <v>2010</v>
      </c>
      <c r="O9" s="9">
        <f>MIN(MAX('Loss Trend'!L7-$O$2, 0), $O$3)*$D9/$D$28</f>
        <v>0</v>
      </c>
      <c r="P9" s="9">
        <f>MIN(MAX('Loss Trend'!M7-$O$2, 0), $O$3)*$D9/$D$28</f>
        <v>0</v>
      </c>
      <c r="Q9" s="9">
        <f>MIN(MAX('Loss Trend'!N7-$O$2, 0), $O$3)*$D9/$D$28</f>
        <v>0</v>
      </c>
      <c r="R9" s="9">
        <f>MIN(MAX('Loss Trend'!O7-$O$2, 0), $O$3)*$D9/$D$28</f>
        <v>0</v>
      </c>
      <c r="S9" s="9">
        <f>MIN(MAX('Loss Trend'!P7-$O$2, 0), $O$3)*$D9/$D$28</f>
        <v>0</v>
      </c>
      <c r="T9" s="9">
        <f t="shared" si="2"/>
        <v>0</v>
      </c>
      <c r="V9">
        <v>2010</v>
      </c>
      <c r="W9" s="9">
        <f>MIN(MAX('Loss Trend'!L7-$W$2, 0), $W$3)*$D9/$D$28</f>
        <v>0</v>
      </c>
      <c r="X9" s="9">
        <f>MIN(MAX('Loss Trend'!M7-$W$2, 0), $W$3)*$D9/$D$28</f>
        <v>0</v>
      </c>
      <c r="Y9" s="9">
        <f>MIN(MAX('Loss Trend'!N7-$W$2, 0), $W$3)*$D9/$D$28</f>
        <v>0</v>
      </c>
      <c r="Z9" s="9">
        <f>MIN(MAX('Loss Trend'!O7-$W$2, 0), $W$3)*$D9/$D$28</f>
        <v>0</v>
      </c>
      <c r="AA9" s="9">
        <f>MIN(MAX('Loss Trend'!P7-$W$2, 0), $W$3)*$D9/$D$28</f>
        <v>0</v>
      </c>
      <c r="AB9" s="9">
        <f t="shared" si="3"/>
        <v>0</v>
      </c>
      <c r="AD9" s="14"/>
      <c r="AE9" s="9"/>
    </row>
    <row r="10" spans="2:33" x14ac:dyDescent="0.25">
      <c r="B10">
        <f t="shared" si="0"/>
        <v>12</v>
      </c>
      <c r="C10">
        <v>2011</v>
      </c>
      <c r="D10" s="9">
        <f>INDEX('Premium Trend'!$D$5:$D$19, MATCH(C10, 'Premium Trend'!$B$5:$B$19, 0))</f>
        <v>132971135.59059462</v>
      </c>
      <c r="F10">
        <v>2011</v>
      </c>
      <c r="G10" s="9">
        <f>MIN(MAX('Loss Trend'!L8-$G$2, 0), $G$3)*$D10/$D$28</f>
        <v>0</v>
      </c>
      <c r="H10" s="9">
        <f>MIN(MAX('Loss Trend'!M8-$G$2, 0), $G$3)*$D10/$D$28</f>
        <v>0</v>
      </c>
      <c r="I10" s="9">
        <f>MIN(MAX('Loss Trend'!N8-$G$2, 0), $G$3)*$D10/$D$28</f>
        <v>0</v>
      </c>
      <c r="J10" s="9">
        <f>MIN(MAX('Loss Trend'!O8-$G$2, 0), $G$3)*$D10/$D$28</f>
        <v>0</v>
      </c>
      <c r="K10" s="9">
        <f>MIN(MAX('Loss Trend'!P8-$G$2, 0), $G$3)*$D10/$D$28</f>
        <v>0</v>
      </c>
      <c r="L10" s="9">
        <f t="shared" si="1"/>
        <v>0</v>
      </c>
      <c r="M10" s="9"/>
      <c r="N10">
        <v>2011</v>
      </c>
      <c r="O10" s="9">
        <f>MIN(MAX('Loss Trend'!L8-$O$2, 0), $O$3)*$D10/$D$28</f>
        <v>0</v>
      </c>
      <c r="P10" s="9">
        <f>MIN(MAX('Loss Trend'!M8-$O$2, 0), $O$3)*$D10/$D$28</f>
        <v>0</v>
      </c>
      <c r="Q10" s="9">
        <f>MIN(MAX('Loss Trend'!N8-$O$2, 0), $O$3)*$D10/$D$28</f>
        <v>0</v>
      </c>
      <c r="R10" s="9">
        <f>MIN(MAX('Loss Trend'!O8-$O$2, 0), $O$3)*$D10/$D$28</f>
        <v>0</v>
      </c>
      <c r="S10" s="9">
        <f>MIN(MAX('Loss Trend'!P8-$O$2, 0), $O$3)*$D10/$D$28</f>
        <v>0</v>
      </c>
      <c r="T10" s="9">
        <f t="shared" si="2"/>
        <v>0</v>
      </c>
      <c r="V10">
        <v>2011</v>
      </c>
      <c r="W10" s="9">
        <f>MIN(MAX('Loss Trend'!L8-$W$2, 0), $W$3)*$D10/$D$28</f>
        <v>0</v>
      </c>
      <c r="X10" s="9">
        <f>MIN(MAX('Loss Trend'!M8-$W$2, 0), $W$3)*$D10/$D$28</f>
        <v>0</v>
      </c>
      <c r="Y10" s="9">
        <f>MIN(MAX('Loss Trend'!N8-$W$2, 0), $W$3)*$D10/$D$28</f>
        <v>0</v>
      </c>
      <c r="Z10" s="9">
        <f>MIN(MAX('Loss Trend'!O8-$W$2, 0), $W$3)*$D10/$D$28</f>
        <v>0</v>
      </c>
      <c r="AA10" s="9">
        <f>MIN(MAX('Loss Trend'!P8-$W$2, 0), $W$3)*$D10/$D$28</f>
        <v>0</v>
      </c>
      <c r="AB10" s="9">
        <f t="shared" si="3"/>
        <v>0</v>
      </c>
      <c r="AD10" s="14"/>
      <c r="AE10" s="9"/>
    </row>
    <row r="11" spans="2:33" x14ac:dyDescent="0.25">
      <c r="B11">
        <f t="shared" si="0"/>
        <v>11</v>
      </c>
      <c r="C11">
        <v>2012</v>
      </c>
      <c r="D11" s="9">
        <f>INDEX('Premium Trend'!$D$5:$D$19, MATCH(C11, 'Premium Trend'!$B$5:$B$19, 0))</f>
        <v>135242959.70926341</v>
      </c>
      <c r="F11">
        <v>2012</v>
      </c>
      <c r="G11" s="9">
        <f>MIN(MAX('Loss Trend'!L9-$G$2, 0), $G$3)*$D11/$D$28</f>
        <v>0</v>
      </c>
      <c r="H11" s="9">
        <f>MIN(MAX('Loss Trend'!M9-$G$2, 0), $G$3)*$D11/$D$28</f>
        <v>0</v>
      </c>
      <c r="I11" s="9">
        <f>MIN(MAX('Loss Trend'!N9-$G$2, 0), $G$3)*$D11/$D$28</f>
        <v>0</v>
      </c>
      <c r="J11" s="9">
        <f>MIN(MAX('Loss Trend'!O9-$G$2, 0), $G$3)*$D11/$D$28</f>
        <v>0</v>
      </c>
      <c r="K11" s="9">
        <f>MIN(MAX('Loss Trend'!P9-$G$2, 0), $G$3)*$D11/$D$28</f>
        <v>0</v>
      </c>
      <c r="L11" s="9">
        <f t="shared" si="1"/>
        <v>0</v>
      </c>
      <c r="M11" s="9"/>
      <c r="N11">
        <v>2012</v>
      </c>
      <c r="O11" s="9">
        <f>MIN(MAX('Loss Trend'!L9-$O$2, 0), $O$3)*$D11/$D$28</f>
        <v>0</v>
      </c>
      <c r="P11" s="9">
        <f>MIN(MAX('Loss Trend'!M9-$O$2, 0), $O$3)*$D11/$D$28</f>
        <v>0</v>
      </c>
      <c r="Q11" s="9">
        <f>MIN(MAX('Loss Trend'!N9-$O$2, 0), $O$3)*$D11/$D$28</f>
        <v>0</v>
      </c>
      <c r="R11" s="9">
        <f>MIN(MAX('Loss Trend'!O9-$O$2, 0), $O$3)*$D11/$D$28</f>
        <v>0</v>
      </c>
      <c r="S11" s="9">
        <f>MIN(MAX('Loss Trend'!P9-$O$2, 0), $O$3)*$D11/$D$28</f>
        <v>0</v>
      </c>
      <c r="T11" s="9">
        <f t="shared" si="2"/>
        <v>0</v>
      </c>
      <c r="V11">
        <v>2012</v>
      </c>
      <c r="W11" s="9">
        <f>MIN(MAX('Loss Trend'!L9-$W$2, 0), $W$3)*$D11/$D$28</f>
        <v>0</v>
      </c>
      <c r="X11" s="9">
        <f>MIN(MAX('Loss Trend'!M9-$W$2, 0), $W$3)*$D11/$D$28</f>
        <v>0</v>
      </c>
      <c r="Y11" s="9">
        <f>MIN(MAX('Loss Trend'!N9-$W$2, 0), $W$3)*$D11/$D$28</f>
        <v>0</v>
      </c>
      <c r="Z11" s="9">
        <f>MIN(MAX('Loss Trend'!O9-$W$2, 0), $W$3)*$D11/$D$28</f>
        <v>0</v>
      </c>
      <c r="AA11" s="9">
        <f>MIN(MAX('Loss Trend'!P9-$W$2, 0), $W$3)*$D11/$D$28</f>
        <v>0</v>
      </c>
      <c r="AB11" s="9">
        <f t="shared" si="3"/>
        <v>0</v>
      </c>
    </row>
    <row r="12" spans="2:33" x14ac:dyDescent="0.25">
      <c r="B12">
        <f t="shared" si="0"/>
        <v>10</v>
      </c>
      <c r="C12">
        <v>2013</v>
      </c>
      <c r="D12" s="9">
        <f>INDEX('Premium Trend'!$D$5:$D$19, MATCH(C12, 'Premium Trend'!$B$5:$B$19, 0))</f>
        <v>133203508.6291696</v>
      </c>
      <c r="F12">
        <v>2013</v>
      </c>
      <c r="G12" s="9">
        <f>MIN(MAX('Loss Trend'!L10-$G$2, 0), $G$3)*$D12/$D$28</f>
        <v>0</v>
      </c>
      <c r="H12" s="9">
        <f>MIN(MAX('Loss Trend'!M10-$G$2, 0), $G$3)*$D12/$D$28</f>
        <v>0</v>
      </c>
      <c r="I12" s="9">
        <f>MIN(MAX('Loss Trend'!N10-$G$2, 0), $G$3)*$D12/$D$28</f>
        <v>0</v>
      </c>
      <c r="J12" s="9">
        <f>MIN(MAX('Loss Trend'!O10-$G$2, 0), $G$3)*$D12/$D$28</f>
        <v>0</v>
      </c>
      <c r="K12" s="9">
        <f>MIN(MAX('Loss Trend'!P10-$G$2, 0), $G$3)*$D12/$D$28</f>
        <v>0</v>
      </c>
      <c r="L12" s="9">
        <f t="shared" si="1"/>
        <v>0</v>
      </c>
      <c r="M12" s="9"/>
      <c r="N12">
        <v>2013</v>
      </c>
      <c r="O12" s="9">
        <f>MIN(MAX('Loss Trend'!L10-$O$2, 0), $O$3)*$D12/$D$28</f>
        <v>0</v>
      </c>
      <c r="P12" s="9">
        <f>MIN(MAX('Loss Trend'!M10-$O$2, 0), $O$3)*$D12/$D$28</f>
        <v>0</v>
      </c>
      <c r="Q12" s="9">
        <f>MIN(MAX('Loss Trend'!N10-$O$2, 0), $O$3)*$D12/$D$28</f>
        <v>0</v>
      </c>
      <c r="R12" s="9">
        <f>MIN(MAX('Loss Trend'!O10-$O$2, 0), $O$3)*$D12/$D$28</f>
        <v>0</v>
      </c>
      <c r="S12" s="9">
        <f>MIN(MAX('Loss Trend'!P10-$O$2, 0), $O$3)*$D12/$D$28</f>
        <v>0</v>
      </c>
      <c r="T12" s="9">
        <f t="shared" si="2"/>
        <v>0</v>
      </c>
      <c r="V12">
        <v>2013</v>
      </c>
      <c r="W12" s="9">
        <f>MIN(MAX('Loss Trend'!L10-$W$2, 0), $W$3)*$D12/$D$28</f>
        <v>0</v>
      </c>
      <c r="X12" s="9">
        <f>MIN(MAX('Loss Trend'!M10-$W$2, 0), $W$3)*$D12/$D$28</f>
        <v>0</v>
      </c>
      <c r="Y12" s="9">
        <f>MIN(MAX('Loss Trend'!N10-$W$2, 0), $W$3)*$D12/$D$28</f>
        <v>0</v>
      </c>
      <c r="Z12" s="9">
        <f>MIN(MAX('Loss Trend'!O10-$W$2, 0), $W$3)*$D12/$D$28</f>
        <v>0</v>
      </c>
      <c r="AA12" s="9">
        <f>MIN(MAX('Loss Trend'!P10-$W$2, 0), $W$3)*$D12/$D$28</f>
        <v>0</v>
      </c>
      <c r="AB12" s="9">
        <f t="shared" si="3"/>
        <v>0</v>
      </c>
    </row>
    <row r="13" spans="2:33" x14ac:dyDescent="0.25">
      <c r="B13">
        <f t="shared" si="0"/>
        <v>9</v>
      </c>
      <c r="C13">
        <v>2014</v>
      </c>
      <c r="D13" s="9">
        <f>INDEX('Premium Trend'!$D$5:$D$19, MATCH(C13, 'Premium Trend'!$B$5:$B$19, 0))</f>
        <v>131261673.17784818</v>
      </c>
      <c r="F13">
        <v>2014</v>
      </c>
      <c r="G13" s="9">
        <f>MIN(MAX('Loss Trend'!L11-$G$2, 0), $G$3)*$D13/$D$28</f>
        <v>0</v>
      </c>
      <c r="H13" s="9">
        <f>MIN(MAX('Loss Trend'!M11-$G$2, 0), $G$3)*$D13/$D$28</f>
        <v>0</v>
      </c>
      <c r="I13" s="9">
        <f>MIN(MAX('Loss Trend'!N11-$G$2, 0), $G$3)*$D13/$D$28</f>
        <v>0</v>
      </c>
      <c r="J13" s="9">
        <f>MIN(MAX('Loss Trend'!O11-$G$2, 0), $G$3)*$D13/$D$28</f>
        <v>0</v>
      </c>
      <c r="K13" s="9">
        <f>MIN(MAX('Loss Trend'!P11-$G$2, 0), $G$3)*$D13/$D$28</f>
        <v>0</v>
      </c>
      <c r="L13" s="9">
        <f t="shared" si="1"/>
        <v>0</v>
      </c>
      <c r="M13" s="9"/>
      <c r="N13">
        <v>2014</v>
      </c>
      <c r="O13" s="9">
        <f>MIN(MAX('Loss Trend'!L11-$O$2, 0), $O$3)*$D13/$D$28</f>
        <v>0</v>
      </c>
      <c r="P13" s="9">
        <f>MIN(MAX('Loss Trend'!M11-$O$2, 0), $O$3)*$D13/$D$28</f>
        <v>0</v>
      </c>
      <c r="Q13" s="9">
        <f>MIN(MAX('Loss Trend'!N11-$O$2, 0), $O$3)*$D13/$D$28</f>
        <v>0</v>
      </c>
      <c r="R13" s="9">
        <f>MIN(MAX('Loss Trend'!O11-$O$2, 0), $O$3)*$D13/$D$28</f>
        <v>0</v>
      </c>
      <c r="S13" s="9">
        <f>MIN(MAX('Loss Trend'!P11-$O$2, 0), $O$3)*$D13/$D$28</f>
        <v>0</v>
      </c>
      <c r="T13" s="9">
        <f t="shared" si="2"/>
        <v>0</v>
      </c>
      <c r="V13">
        <v>2014</v>
      </c>
      <c r="W13" s="9">
        <f>MIN(MAX('Loss Trend'!L11-$W$2, 0), $W$3)*$D13/$D$28</f>
        <v>0</v>
      </c>
      <c r="X13" s="9">
        <f>MIN(MAX('Loss Trend'!M11-$W$2, 0), $W$3)*$D13/$D$28</f>
        <v>0</v>
      </c>
      <c r="Y13" s="9">
        <f>MIN(MAX('Loss Trend'!N11-$W$2, 0), $W$3)*$D13/$D$28</f>
        <v>0</v>
      </c>
      <c r="Z13" s="9">
        <f>MIN(MAX('Loss Trend'!O11-$W$2, 0), $W$3)*$D13/$D$28</f>
        <v>0</v>
      </c>
      <c r="AA13" s="9">
        <f>MIN(MAX('Loss Trend'!P11-$W$2, 0), $W$3)*$D13/$D$28</f>
        <v>0</v>
      </c>
      <c r="AB13" s="9">
        <f t="shared" si="3"/>
        <v>0</v>
      </c>
      <c r="AD13" s="14">
        <v>2008</v>
      </c>
      <c r="AE13" s="9">
        <f t="shared" ref="AE13:AE27" si="4">MIN(MAX(0,SUMIFS(AB$7:AB$27,$C$7:$C$27,$AD13)-$AE$2),$AE$3)</f>
        <v>0</v>
      </c>
    </row>
    <row r="14" spans="2:33" x14ac:dyDescent="0.25">
      <c r="B14">
        <f t="shared" si="0"/>
        <v>8</v>
      </c>
      <c r="C14">
        <v>2015</v>
      </c>
      <c r="D14" s="9">
        <f>INDEX('Premium Trend'!$D$5:$D$19, MATCH(C14, 'Premium Trend'!$B$5:$B$19, 0))</f>
        <v>129210033.62901837</v>
      </c>
      <c r="F14">
        <v>2015</v>
      </c>
      <c r="G14" s="9">
        <f>MIN(MAX('Loss Trend'!L12-$G$2, 0), $G$3)*$D14/$D$28</f>
        <v>14908850.034117503</v>
      </c>
      <c r="H14" s="9">
        <f>MIN(MAX('Loss Trend'!M12-$G$2, 0), $G$3)*$D14/$D$28</f>
        <v>0</v>
      </c>
      <c r="I14" s="9">
        <f>MIN(MAX('Loss Trend'!N12-$G$2, 0), $G$3)*$D14/$D$28</f>
        <v>0</v>
      </c>
      <c r="J14" s="9">
        <f>MIN(MAX('Loss Trend'!O12-$G$2, 0), $G$3)*$D14/$D$28</f>
        <v>0</v>
      </c>
      <c r="K14" s="9">
        <f>MIN(MAX('Loss Trend'!P12-$G$2, 0), $G$3)*$D14/$D$28</f>
        <v>0</v>
      </c>
      <c r="L14" s="9">
        <f t="shared" si="1"/>
        <v>14908850.034117503</v>
      </c>
      <c r="M14" s="9"/>
      <c r="N14">
        <v>2015</v>
      </c>
      <c r="O14" s="9">
        <f>MIN(MAX('Loss Trend'!L12-$O$2, 0), $O$3)*$D14/$D$28</f>
        <v>11618110.888770176</v>
      </c>
      <c r="P14" s="9">
        <f>MIN(MAX('Loss Trend'!M12-$O$2, 0), $O$3)*$D14/$D$28</f>
        <v>0</v>
      </c>
      <c r="Q14" s="9">
        <f>MIN(MAX('Loss Trend'!N12-$O$2, 0), $O$3)*$D14/$D$28</f>
        <v>0</v>
      </c>
      <c r="R14" s="9">
        <f>MIN(MAX('Loss Trend'!O12-$O$2, 0), $O$3)*$D14/$D$28</f>
        <v>0</v>
      </c>
      <c r="S14" s="9">
        <f>MIN(MAX('Loss Trend'!P12-$O$2, 0), $O$3)*$D14/$D$28</f>
        <v>0</v>
      </c>
      <c r="T14" s="9">
        <f t="shared" si="2"/>
        <v>11618110.888770176</v>
      </c>
      <c r="V14">
        <v>2015</v>
      </c>
      <c r="W14" s="9">
        <f>MIN(MAX('Loss Trend'!L12-$W$2, 0), $W$3)*$D14/$D$28</f>
        <v>9939233.356078336</v>
      </c>
      <c r="X14" s="9">
        <f>MIN(MAX('Loss Trend'!M12-$W$2, 0), $W$3)*$D14/$D$28</f>
        <v>0</v>
      </c>
      <c r="Y14" s="9">
        <f>MIN(MAX('Loss Trend'!N12-$W$2, 0), $W$3)*$D14/$D$28</f>
        <v>0</v>
      </c>
      <c r="Z14" s="9">
        <f>MIN(MAX('Loss Trend'!O12-$W$2, 0), $W$3)*$D14/$D$28</f>
        <v>0</v>
      </c>
      <c r="AA14" s="9">
        <f>MIN(MAX('Loss Trend'!P12-$W$2, 0), $W$3)*$D14/$D$28</f>
        <v>0</v>
      </c>
      <c r="AB14" s="9">
        <f t="shared" si="3"/>
        <v>9939233.356078336</v>
      </c>
      <c r="AD14" s="14">
        <v>2009</v>
      </c>
      <c r="AE14" s="9">
        <f t="shared" si="4"/>
        <v>0</v>
      </c>
    </row>
    <row r="15" spans="2:33" x14ac:dyDescent="0.25">
      <c r="B15">
        <f t="shared" si="0"/>
        <v>7</v>
      </c>
      <c r="C15">
        <v>2016</v>
      </c>
      <c r="D15" s="9">
        <f>INDEX('Premium Trend'!$D$5:$D$19, MATCH(C15, 'Premium Trend'!$B$5:$B$19, 0))</f>
        <v>135743413.98760635</v>
      </c>
      <c r="F15">
        <v>2016</v>
      </c>
      <c r="G15" s="9">
        <f>MIN(MAX('Loss Trend'!L13-$G$2, 0), $G$3)*$D15/$D$28</f>
        <v>0</v>
      </c>
      <c r="H15" s="9">
        <f>MIN(MAX('Loss Trend'!M13-$G$2, 0), $G$3)*$D15/$D$28</f>
        <v>0</v>
      </c>
      <c r="I15" s="9">
        <f>MIN(MAX('Loss Trend'!N13-$G$2, 0), $G$3)*$D15/$D$28</f>
        <v>0</v>
      </c>
      <c r="J15" s="9">
        <f>MIN(MAX('Loss Trend'!O13-$G$2, 0), $G$3)*$D15/$D$28</f>
        <v>0</v>
      </c>
      <c r="K15" s="9">
        <f>MIN(MAX('Loss Trend'!P13-$G$2, 0), $G$3)*$D15/$D$28</f>
        <v>0</v>
      </c>
      <c r="L15" s="9">
        <f t="shared" ref="L15:L27" si="5">SUM(G15:K15)</f>
        <v>0</v>
      </c>
      <c r="M15" s="9"/>
      <c r="N15">
        <v>2016</v>
      </c>
      <c r="O15" s="9">
        <f>MIN(MAX('Loss Trend'!L13-$O$2, 0), $O$3)*$D15/$D$28</f>
        <v>0</v>
      </c>
      <c r="P15" s="9">
        <f>MIN(MAX('Loss Trend'!M13-$O$2, 0), $O$3)*$D15/$D$28</f>
        <v>0</v>
      </c>
      <c r="Q15" s="9">
        <f>MIN(MAX('Loss Trend'!N13-$O$2, 0), $O$3)*$D15/$D$28</f>
        <v>0</v>
      </c>
      <c r="R15" s="9">
        <f>MIN(MAX('Loss Trend'!O13-$O$2, 0), $O$3)*$D15/$D$28</f>
        <v>0</v>
      </c>
      <c r="S15" s="9">
        <f>MIN(MAX('Loss Trend'!P13-$O$2, 0), $O$3)*$D15/$D$28</f>
        <v>0</v>
      </c>
      <c r="T15" s="9">
        <f t="shared" ref="T15:T27" si="6">SUM(O15:S15)</f>
        <v>0</v>
      </c>
      <c r="V15">
        <v>2016</v>
      </c>
      <c r="W15" s="9">
        <f>MIN(MAX('Loss Trend'!L13-$W$2, 0), $W$3)*$D15/$D$28</f>
        <v>0</v>
      </c>
      <c r="X15" s="9">
        <f>MIN(MAX('Loss Trend'!M13-$W$2, 0), $W$3)*$D15/$D$28</f>
        <v>0</v>
      </c>
      <c r="Y15" s="9">
        <f>MIN(MAX('Loss Trend'!N13-$W$2, 0), $W$3)*$D15/$D$28</f>
        <v>1822946.1699345761</v>
      </c>
      <c r="Z15" s="9">
        <f>MIN(MAX('Loss Trend'!O13-$W$2, 0), $W$3)*$D15/$D$28</f>
        <v>0</v>
      </c>
      <c r="AA15" s="9">
        <f>MIN(MAX('Loss Trend'!P13-$W$2, 0), $W$3)*$D15/$D$28</f>
        <v>0</v>
      </c>
      <c r="AB15" s="9">
        <f t="shared" si="3"/>
        <v>1822946.1699345761</v>
      </c>
      <c r="AD15" s="14">
        <v>2010</v>
      </c>
      <c r="AE15" s="9">
        <f t="shared" si="4"/>
        <v>0</v>
      </c>
    </row>
    <row r="16" spans="2:33" x14ac:dyDescent="0.25">
      <c r="B16">
        <f t="shared" si="0"/>
        <v>6</v>
      </c>
      <c r="C16">
        <v>2017</v>
      </c>
      <c r="D16" s="9">
        <f>INDEX('Premium Trend'!$D$5:$D$19, MATCH(C16, 'Premium Trend'!$B$5:$B$19, 0))</f>
        <v>144026749.31258747</v>
      </c>
      <c r="F16">
        <v>2017</v>
      </c>
      <c r="G16" s="9">
        <f>MIN(MAX('Loss Trend'!L14-$G$2, 0), $G$3)*$D16/$D$28</f>
        <v>1521520.0878896916</v>
      </c>
      <c r="H16" s="9">
        <f>MIN(MAX('Loss Trend'!M14-$G$2, 0), $G$3)*$D16/$D$28</f>
        <v>3335519.2041315935</v>
      </c>
      <c r="I16" s="9">
        <f>MIN(MAX('Loss Trend'!N14-$G$2, 0), $G$3)*$D16/$D$28</f>
        <v>10591515.669099201</v>
      </c>
      <c r="J16" s="9">
        <f>MIN(MAX('Loss Trend'!O14-$G$2, 0), $G$3)*$D16/$D$28</f>
        <v>0</v>
      </c>
      <c r="K16" s="9">
        <f>MIN(MAX('Loss Trend'!P14-$G$2, 0), $G$3)*$D16/$D$28</f>
        <v>8777516.5528572965</v>
      </c>
      <c r="L16" s="9">
        <f t="shared" si="5"/>
        <v>24226071.513977781</v>
      </c>
      <c r="M16" s="9"/>
      <c r="N16">
        <v>2017</v>
      </c>
      <c r="O16" s="9">
        <f>MIN(MAX('Loss Trend'!L14-$O$2, 0), $O$3)*$D16/$D$28</f>
        <v>0</v>
      </c>
      <c r="P16" s="9">
        <f>MIN(MAX('Loss Trend'!M14-$O$2, 0), $O$3)*$D16/$D$28</f>
        <v>0</v>
      </c>
      <c r="Q16" s="9">
        <f>MIN(MAX('Loss Trend'!N14-$O$2, 0), $O$3)*$D16/$D$28</f>
        <v>0</v>
      </c>
      <c r="R16" s="9">
        <f>MIN(MAX('Loss Trend'!O14-$O$2, 0), $O$3)*$D16/$D$28</f>
        <v>0</v>
      </c>
      <c r="S16" s="9">
        <f>MIN(MAX('Loss Trend'!P14-$O$2, 0), $O$3)*$D16/$D$28</f>
        <v>0</v>
      </c>
      <c r="T16" s="9">
        <f t="shared" si="6"/>
        <v>0</v>
      </c>
      <c r="V16">
        <v>2017</v>
      </c>
      <c r="W16" s="9">
        <f>MIN(MAX('Loss Trend'!L14-$W$2, 0), $W$3)*$D16/$D$28</f>
        <v>11078980.716352882</v>
      </c>
      <c r="X16" s="9">
        <f>MIN(MAX('Loss Trend'!M14-$W$2, 0), $W$3)*$D16/$D$28</f>
        <v>11078980.716352882</v>
      </c>
      <c r="Y16" s="9">
        <f>MIN(MAX('Loss Trend'!N14-$W$2, 0), $W$3)*$D16/$D$28</f>
        <v>11078980.716352882</v>
      </c>
      <c r="Z16" s="9">
        <f>MIN(MAX('Loss Trend'!O14-$W$2, 0), $W$3)*$D16/$D$28</f>
        <v>0</v>
      </c>
      <c r="AA16" s="9">
        <f>MIN(MAX('Loss Trend'!P14-$W$2, 0), $W$3)*$D16/$D$28</f>
        <v>11078980.716352882</v>
      </c>
      <c r="AB16" s="9">
        <f t="shared" si="3"/>
        <v>44315922.865411527</v>
      </c>
      <c r="AD16" s="14">
        <v>2011</v>
      </c>
      <c r="AE16" s="9">
        <f t="shared" si="4"/>
        <v>0</v>
      </c>
    </row>
    <row r="17" spans="2:31" x14ac:dyDescent="0.25">
      <c r="B17">
        <f t="shared" si="0"/>
        <v>6</v>
      </c>
      <c r="C17">
        <v>2017</v>
      </c>
      <c r="D17" s="9">
        <f>INDEX('Premium Trend'!$D$5:$D$19, MATCH(C17, 'Premium Trend'!$B$5:$B$19, 0))</f>
        <v>144026749.31258747</v>
      </c>
      <c r="F17">
        <v>2017</v>
      </c>
      <c r="G17" s="9">
        <f>MIN(MAX('Loss Trend'!L15-$G$2, 0), $G$3)*$D17/$D$28</f>
        <v>0</v>
      </c>
      <c r="H17" s="9">
        <f>MIN(MAX('Loss Trend'!M15-$G$2, 0), $G$3)*$D17/$D$28</f>
        <v>0</v>
      </c>
      <c r="I17" s="9">
        <f>MIN(MAX('Loss Trend'!N15-$G$2, 0), $G$3)*$D17/$D$28</f>
        <v>8777516.5528572965</v>
      </c>
      <c r="J17" s="9">
        <f>MIN(MAX('Loss Trend'!O15-$G$2, 0), $G$3)*$D17/$D$28</f>
        <v>0</v>
      </c>
      <c r="K17" s="9">
        <f>MIN(MAX('Loss Trend'!P15-$G$2, 0), $G$3)*$D17/$D$28</f>
        <v>8777516.5528572965</v>
      </c>
      <c r="L17" s="9">
        <f t="shared" si="5"/>
        <v>17555033.105714593</v>
      </c>
      <c r="M17" s="9"/>
      <c r="N17">
        <v>2017</v>
      </c>
      <c r="O17" s="9">
        <f>MIN(MAX('Loss Trend'!L15-$O$2, 0), $O$3)*$D17/$D$28</f>
        <v>0</v>
      </c>
      <c r="P17" s="9">
        <f>MIN(MAX('Loss Trend'!M15-$O$2, 0), $O$3)*$D17/$D$28</f>
        <v>0</v>
      </c>
      <c r="Q17" s="9">
        <f>MIN(MAX('Loss Trend'!N15-$O$2, 0), $O$3)*$D17/$D$28</f>
        <v>0</v>
      </c>
      <c r="R17" s="9">
        <f>MIN(MAX('Loss Trend'!O15-$O$2, 0), $O$3)*$D17/$D$28</f>
        <v>0</v>
      </c>
      <c r="S17" s="9">
        <f>MIN(MAX('Loss Trend'!P15-$O$2, 0), $O$3)*$D17/$D$28</f>
        <v>0</v>
      </c>
      <c r="T17" s="9">
        <f t="shared" si="6"/>
        <v>0</v>
      </c>
      <c r="V17">
        <v>2017</v>
      </c>
      <c r="W17" s="9">
        <f>MIN(MAX('Loss Trend'!L15-$W$2, 0), $W$3)*$D17/$D$28</f>
        <v>8972502.5717587713</v>
      </c>
      <c r="X17" s="9">
        <f>MIN(MAX('Loss Trend'!M15-$W$2, 0), $W$3)*$D17/$D$28</f>
        <v>0</v>
      </c>
      <c r="Y17" s="9">
        <f>MIN(MAX('Loss Trend'!N15-$W$2, 0), $W$3)*$D17/$D$28</f>
        <v>11078980.716352882</v>
      </c>
      <c r="Z17" s="9">
        <f>MIN(MAX('Loss Trend'!O15-$W$2, 0), $W$3)*$D17/$D$28</f>
        <v>0</v>
      </c>
      <c r="AA17" s="9">
        <f>MIN(MAX('Loss Trend'!P15-$W$2, 0), $W$3)*$D17/$D$28</f>
        <v>11078980.716352882</v>
      </c>
      <c r="AB17" s="9">
        <f t="shared" si="3"/>
        <v>31130464.004464537</v>
      </c>
      <c r="AD17" s="14">
        <v>2012</v>
      </c>
      <c r="AE17" s="9">
        <f t="shared" si="4"/>
        <v>0</v>
      </c>
    </row>
    <row r="18" spans="2:31" x14ac:dyDescent="0.25">
      <c r="B18">
        <f t="shared" ref="B18" si="7">2023-C18</f>
        <v>6</v>
      </c>
      <c r="C18">
        <v>2017</v>
      </c>
      <c r="D18" s="9">
        <f>INDEX('Premium Trend'!$D$5:$D$19, MATCH(C18, 'Premium Trend'!$B$5:$B$19, 0))</f>
        <v>144026749.31258747</v>
      </c>
      <c r="F18">
        <v>2017</v>
      </c>
      <c r="G18" s="9">
        <f>MIN(MAX('Loss Trend'!L16-$G$2, 0), $G$3)*$D18/$D$28</f>
        <v>0</v>
      </c>
      <c r="H18" s="9">
        <f>MIN(MAX('Loss Trend'!M16-$G$2, 0), $G$3)*$D18/$D$28</f>
        <v>0</v>
      </c>
      <c r="I18" s="9">
        <f>MIN(MAX('Loss Trend'!N16-$G$2, 0), $G$3)*$D18/$D$28</f>
        <v>0</v>
      </c>
      <c r="J18" s="9">
        <f>MIN(MAX('Loss Trend'!O16-$G$2, 0), $G$3)*$D18/$D$28</f>
        <v>0</v>
      </c>
      <c r="K18" s="9">
        <f>MIN(MAX('Loss Trend'!P16-$G$2, 0), $G$3)*$D18/$D$28</f>
        <v>4515499.2117840908</v>
      </c>
      <c r="L18" s="9">
        <f t="shared" ref="L18" si="8">SUM(G18:K18)</f>
        <v>4515499.2117840908</v>
      </c>
      <c r="M18" s="9"/>
      <c r="N18">
        <v>2017</v>
      </c>
      <c r="O18" s="9">
        <f>MIN(MAX('Loss Trend'!L16-$O$2, 0), $O$3)*$D18/$D$28</f>
        <v>0</v>
      </c>
      <c r="P18" s="9">
        <f>MIN(MAX('Loss Trend'!M16-$O$2, 0), $O$3)*$D18/$D$28</f>
        <v>0</v>
      </c>
      <c r="Q18" s="9">
        <f>MIN(MAX('Loss Trend'!N16-$O$2, 0), $O$3)*$D18/$D$28</f>
        <v>0</v>
      </c>
      <c r="R18" s="9">
        <f>MIN(MAX('Loss Trend'!O16-$O$2, 0), $O$3)*$D18/$D$28</f>
        <v>0</v>
      </c>
      <c r="S18" s="9">
        <f>MIN(MAX('Loss Trend'!P16-$O$2, 0), $O$3)*$D18/$D$28</f>
        <v>0</v>
      </c>
      <c r="T18" s="9">
        <f t="shared" ref="T18" si="9">SUM(O18:S18)</f>
        <v>0</v>
      </c>
      <c r="V18">
        <v>2017</v>
      </c>
      <c r="W18" s="9">
        <f>MIN(MAX('Loss Trend'!L16-$W$2, 0), $W$3)*$D18/$D$28</f>
        <v>0</v>
      </c>
      <c r="X18" s="9">
        <f>MIN(MAX('Loss Trend'!M16-$W$2, 0), $W$3)*$D18/$D$28</f>
        <v>0</v>
      </c>
      <c r="Y18" s="9">
        <f>MIN(MAX('Loss Trend'!N16-$W$2, 0), $W$3)*$D18/$D$28</f>
        <v>0</v>
      </c>
      <c r="Z18" s="9">
        <f>MIN(MAX('Loss Trend'!O16-$W$2, 0), $W$3)*$D18/$D$28</f>
        <v>0</v>
      </c>
      <c r="AA18" s="9">
        <f>MIN(MAX('Loss Trend'!P16-$W$2, 0), $W$3)*$D18/$D$28</f>
        <v>11078980.716352882</v>
      </c>
      <c r="AB18" s="9">
        <f t="shared" si="3"/>
        <v>11078980.716352882</v>
      </c>
      <c r="AD18" s="14">
        <v>2013</v>
      </c>
      <c r="AE18" s="9">
        <f t="shared" si="4"/>
        <v>0</v>
      </c>
    </row>
    <row r="19" spans="2:31" x14ac:dyDescent="0.25">
      <c r="B19">
        <f t="shared" ref="B19:B27" si="10">2023-C19</f>
        <v>5</v>
      </c>
      <c r="C19">
        <v>2018</v>
      </c>
      <c r="D19" s="9">
        <f>INDEX('Premium Trend'!$D$5:$D$19, MATCH(C19, 'Premium Trend'!$B$5:$B$19, 0))</f>
        <v>146337526.93699649</v>
      </c>
      <c r="F19">
        <v>2018</v>
      </c>
      <c r="G19" s="9">
        <f>MIN(MAX('Loss Trend'!L17-$G$2, 0), $G$3)*$D19/$D$28</f>
        <v>0</v>
      </c>
      <c r="H19" s="9">
        <f>MIN(MAX('Loss Trend'!M17-$G$2, 0), $G$3)*$D19/$D$28</f>
        <v>0</v>
      </c>
      <c r="I19" s="9">
        <f>MIN(MAX('Loss Trend'!N17-$G$2, 0), $G$3)*$D19/$D$28</f>
        <v>4587946.2717325259</v>
      </c>
      <c r="J19" s="9">
        <f>MIN(MAX('Loss Trend'!O17-$G$2, 0), $G$3)*$D19/$D$28</f>
        <v>0</v>
      </c>
      <c r="K19" s="9">
        <f>MIN(MAX('Loss Trend'!P17-$G$2, 0), $G$3)*$D19/$D$28</f>
        <v>0</v>
      </c>
      <c r="L19" s="9">
        <f t="shared" si="5"/>
        <v>4587946.2717325259</v>
      </c>
      <c r="M19" s="9"/>
      <c r="N19">
        <v>2018</v>
      </c>
      <c r="O19" s="9">
        <f>MIN(MAX('Loss Trend'!L17-$O$2, 0), $O$3)*$D19/$D$28</f>
        <v>0</v>
      </c>
      <c r="P19" s="9">
        <f>MIN(MAX('Loss Trend'!M17-$O$2, 0), $O$3)*$D19/$D$28</f>
        <v>0</v>
      </c>
      <c r="Q19" s="9">
        <f>MIN(MAX('Loss Trend'!N17-$O$2, 0), $O$3)*$D19/$D$28</f>
        <v>0</v>
      </c>
      <c r="R19" s="9">
        <f>MIN(MAX('Loss Trend'!O17-$O$2, 0), $O$3)*$D19/$D$28</f>
        <v>0</v>
      </c>
      <c r="S19" s="9">
        <f>MIN(MAX('Loss Trend'!P17-$O$2, 0), $O$3)*$D19/$D$28</f>
        <v>0</v>
      </c>
      <c r="T19" s="9">
        <f t="shared" si="6"/>
        <v>0</v>
      </c>
      <c r="V19">
        <v>2018</v>
      </c>
      <c r="W19" s="9">
        <f>MIN(MAX('Loss Trend'!L17-$W$2, 0), $W$3)*$D19/$D$28</f>
        <v>0</v>
      </c>
      <c r="X19" s="9">
        <f>MIN(MAX('Loss Trend'!M17-$W$2, 0), $W$3)*$D19/$D$28</f>
        <v>0</v>
      </c>
      <c r="Y19" s="9">
        <f>MIN(MAX('Loss Trend'!N17-$W$2, 0), $W$3)*$D19/$D$28</f>
        <v>11256732.841307422</v>
      </c>
      <c r="Z19" s="9">
        <f>MIN(MAX('Loss Trend'!O17-$W$2, 0), $W$3)*$D19/$D$28</f>
        <v>0</v>
      </c>
      <c r="AA19" s="9">
        <f>MIN(MAX('Loss Trend'!P17-$W$2, 0), $W$3)*$D19/$D$28</f>
        <v>0</v>
      </c>
      <c r="AB19" s="9">
        <f t="shared" si="3"/>
        <v>11256732.841307422</v>
      </c>
      <c r="AD19" s="14">
        <v>2014</v>
      </c>
      <c r="AE19" s="9">
        <f t="shared" si="4"/>
        <v>0</v>
      </c>
    </row>
    <row r="20" spans="2:31" x14ac:dyDescent="0.25">
      <c r="B20">
        <f t="shared" si="10"/>
        <v>4</v>
      </c>
      <c r="C20">
        <v>2019</v>
      </c>
      <c r="D20" s="9">
        <f>INDEX('Premium Trend'!$D$5:$D$19, MATCH(C20, 'Premium Trend'!$B$5:$B$19, 0))</f>
        <v>145622684.68269837</v>
      </c>
      <c r="F20">
        <v>2019</v>
      </c>
      <c r="G20" s="9">
        <f>MIN(MAX('Loss Trend'!L18-$G$2, 0), $G$3)*$D20/$D$28</f>
        <v>0</v>
      </c>
      <c r="H20" s="9">
        <f>MIN(MAX('Loss Trend'!M18-$G$2, 0), $G$3)*$D20/$D$28</f>
        <v>0</v>
      </c>
      <c r="I20" s="9">
        <f>MIN(MAX('Loss Trend'!N18-$G$2, 0), $G$3)*$D20/$D$28</f>
        <v>0</v>
      </c>
      <c r="J20" s="9">
        <f>MIN(MAX('Loss Trend'!O18-$G$2, 0), $G$3)*$D20/$D$28</f>
        <v>0</v>
      </c>
      <c r="K20" s="9">
        <f>MIN(MAX('Loss Trend'!P18-$G$2, 0), $G$3)*$D20/$D$28</f>
        <v>0</v>
      </c>
      <c r="L20" s="9">
        <f t="shared" si="5"/>
        <v>0</v>
      </c>
      <c r="M20" s="9"/>
      <c r="N20">
        <v>2019</v>
      </c>
      <c r="O20" s="9">
        <f>MIN(MAX('Loss Trend'!L18-$O$2, 0), $O$3)*$D20/$D$28</f>
        <v>0</v>
      </c>
      <c r="P20" s="9">
        <f>MIN(MAX('Loss Trend'!M18-$O$2, 0), $O$3)*$D20/$D$28</f>
        <v>0</v>
      </c>
      <c r="Q20" s="9">
        <f>MIN(MAX('Loss Trend'!N18-$O$2, 0), $O$3)*$D20/$D$28</f>
        <v>0</v>
      </c>
      <c r="R20" s="9">
        <f>MIN(MAX('Loss Trend'!O18-$O$2, 0), $O$3)*$D20/$D$28</f>
        <v>0</v>
      </c>
      <c r="S20" s="9">
        <f>MIN(MAX('Loss Trend'!P18-$O$2, 0), $O$3)*$D20/$D$28</f>
        <v>0</v>
      </c>
      <c r="T20" s="9">
        <f t="shared" si="6"/>
        <v>0</v>
      </c>
      <c r="V20">
        <v>2019</v>
      </c>
      <c r="W20" s="9">
        <f>MIN(MAX('Loss Trend'!L18-$W$2, 0), $W$3)*$D20/$D$28</f>
        <v>0</v>
      </c>
      <c r="X20" s="9">
        <f>MIN(MAX('Loss Trend'!M18-$W$2, 0), $W$3)*$D20/$D$28</f>
        <v>0</v>
      </c>
      <c r="Y20" s="9">
        <f>MIN(MAX('Loss Trend'!N18-$W$2, 0), $W$3)*$D20/$D$28</f>
        <v>0</v>
      </c>
      <c r="Z20" s="9">
        <f>MIN(MAX('Loss Trend'!O18-$W$2, 0), $W$3)*$D20/$D$28</f>
        <v>0</v>
      </c>
      <c r="AA20" s="9">
        <f>MIN(MAX('Loss Trend'!P18-$W$2, 0), $W$3)*$D20/$D$28</f>
        <v>0</v>
      </c>
      <c r="AB20" s="9">
        <f t="shared" si="3"/>
        <v>0</v>
      </c>
      <c r="AD20" s="14">
        <v>2015</v>
      </c>
      <c r="AE20" s="9">
        <f t="shared" si="4"/>
        <v>0</v>
      </c>
    </row>
    <row r="21" spans="2:31" x14ac:dyDescent="0.25">
      <c r="B21">
        <f t="shared" si="10"/>
        <v>4</v>
      </c>
      <c r="C21">
        <v>2019</v>
      </c>
      <c r="D21" s="9">
        <f>INDEX('Premium Trend'!$D$5:$D$19, MATCH(C21, 'Premium Trend'!$B$5:$B$19, 0))</f>
        <v>145622684.68269837</v>
      </c>
      <c r="F21">
        <v>2019</v>
      </c>
      <c r="G21" s="9">
        <f>MIN(MAX('Loss Trend'!L19-$G$2, 0), $G$3)*$D21/$D$28</f>
        <v>0</v>
      </c>
      <c r="H21" s="9">
        <f>MIN(MAX('Loss Trend'!M19-$G$2, 0), $G$3)*$D21/$D$28</f>
        <v>0</v>
      </c>
      <c r="I21" s="9">
        <f>MIN(MAX('Loss Trend'!N19-$G$2, 0), $G$3)*$D21/$D$28</f>
        <v>0</v>
      </c>
      <c r="J21" s="9">
        <f>MIN(MAX('Loss Trend'!O19-$G$2, 0), $G$3)*$D21/$D$28</f>
        <v>0</v>
      </c>
      <c r="K21" s="9">
        <f>MIN(MAX('Loss Trend'!P19-$G$2, 0), $G$3)*$D21/$D$28</f>
        <v>0</v>
      </c>
      <c r="L21" s="9">
        <f t="shared" si="5"/>
        <v>0</v>
      </c>
      <c r="M21" s="9"/>
      <c r="N21">
        <v>2019</v>
      </c>
      <c r="O21" s="9">
        <f>MIN(MAX('Loss Trend'!L19-$O$2, 0), $O$3)*$D21/$D$28</f>
        <v>0</v>
      </c>
      <c r="P21" s="9">
        <f>MIN(MAX('Loss Trend'!M19-$O$2, 0), $O$3)*$D21/$D$28</f>
        <v>0</v>
      </c>
      <c r="Q21" s="9">
        <f>MIN(MAX('Loss Trend'!N19-$O$2, 0), $O$3)*$D21/$D$28</f>
        <v>0</v>
      </c>
      <c r="R21" s="9">
        <f>MIN(MAX('Loss Trend'!O19-$O$2, 0), $O$3)*$D21/$D$28</f>
        <v>0</v>
      </c>
      <c r="S21" s="9">
        <f>MIN(MAX('Loss Trend'!P19-$O$2, 0), $O$3)*$D21/$D$28</f>
        <v>0</v>
      </c>
      <c r="T21" s="9">
        <f t="shared" si="6"/>
        <v>0</v>
      </c>
      <c r="V21">
        <v>2019</v>
      </c>
      <c r="W21" s="9">
        <f>MIN(MAX('Loss Trend'!L19-$W$2, 0), $W$3)*$D21/$D$28</f>
        <v>0</v>
      </c>
      <c r="X21" s="9">
        <f>MIN(MAX('Loss Trend'!M19-$W$2, 0), $W$3)*$D21/$D$28</f>
        <v>0</v>
      </c>
      <c r="Y21" s="9">
        <f>MIN(MAX('Loss Trend'!N19-$W$2, 0), $W$3)*$D21/$D$28</f>
        <v>0</v>
      </c>
      <c r="Z21" s="9">
        <f>MIN(MAX('Loss Trend'!O19-$W$2, 0), $W$3)*$D21/$D$28</f>
        <v>0</v>
      </c>
      <c r="AA21" s="9">
        <f>MIN(MAX('Loss Trend'!P19-$W$2, 0), $W$3)*$D21/$D$28</f>
        <v>0</v>
      </c>
      <c r="AB21" s="9">
        <f t="shared" si="3"/>
        <v>0</v>
      </c>
      <c r="AD21" s="14">
        <v>2016</v>
      </c>
      <c r="AE21" s="9">
        <f t="shared" si="4"/>
        <v>0</v>
      </c>
    </row>
    <row r="22" spans="2:31" x14ac:dyDescent="0.25">
      <c r="B22">
        <f t="shared" si="10"/>
        <v>3</v>
      </c>
      <c r="C22">
        <v>2020</v>
      </c>
      <c r="D22" s="9">
        <f>INDEX('Premium Trend'!$D$5:$D$19, MATCH(C22, 'Premium Trend'!$B$5:$B$19, 0))</f>
        <v>139140298.52323258</v>
      </c>
      <c r="F22">
        <v>2020</v>
      </c>
      <c r="G22" s="9">
        <f>MIN(MAX('Loss Trend'!L20-$G$2, 0), $G$3)*$D22/$D$28</f>
        <v>0</v>
      </c>
      <c r="H22" s="9">
        <f>MIN(MAX('Loss Trend'!M20-$G$2, 0), $G$3)*$D22/$D$28</f>
        <v>4794028.1458935142</v>
      </c>
      <c r="I22" s="9">
        <f>MIN(MAX('Loss Trend'!N20-$G$2, 0), $G$3)*$D22/$D$28</f>
        <v>0</v>
      </c>
      <c r="J22" s="9">
        <f>MIN(MAX('Loss Trend'!O20-$G$2, 0), $G$3)*$D22/$D$28</f>
        <v>0</v>
      </c>
      <c r="K22" s="9">
        <f>MIN(MAX('Loss Trend'!P20-$G$2, 0), $G$3)*$D22/$D$28</f>
        <v>16054649.82960376</v>
      </c>
      <c r="L22" s="9">
        <f t="shared" si="5"/>
        <v>20848677.975497276</v>
      </c>
      <c r="M22" s="9"/>
      <c r="N22">
        <v>2020</v>
      </c>
      <c r="O22" s="9">
        <f>MIN(MAX('Loss Trend'!L20-$O$2, 0), $O$3)*$D22/$D$28</f>
        <v>0</v>
      </c>
      <c r="P22" s="9">
        <f>MIN(MAX('Loss Trend'!M20-$O$2, 0), $O$3)*$D22/$D$28</f>
        <v>0</v>
      </c>
      <c r="Q22" s="9">
        <f>MIN(MAX('Loss Trend'!N20-$O$2, 0), $O$3)*$D22/$D$28</f>
        <v>0</v>
      </c>
      <c r="R22" s="9">
        <f>MIN(MAX('Loss Trend'!O20-$O$2, 0), $O$3)*$D22/$D$28</f>
        <v>0</v>
      </c>
      <c r="S22" s="9">
        <f>MIN(MAX('Loss Trend'!P20-$O$2, 0), $O$3)*$D22/$D$28</f>
        <v>3173078.4531724853</v>
      </c>
      <c r="T22" s="9">
        <f t="shared" si="6"/>
        <v>3173078.4531724853</v>
      </c>
      <c r="V22">
        <v>2020</v>
      </c>
      <c r="W22" s="9">
        <f>MIN(MAX('Loss Trend'!L20-$W$2, 0), $W$3)*$D22/$D$28</f>
        <v>0</v>
      </c>
      <c r="X22" s="9">
        <f>MIN(MAX('Loss Trend'!M20-$W$2, 0), $W$3)*$D22/$D$28</f>
        <v>10703099.886402506</v>
      </c>
      <c r="Y22" s="9">
        <f>MIN(MAX('Loss Trend'!N20-$W$2, 0), $W$3)*$D22/$D$28</f>
        <v>0</v>
      </c>
      <c r="Z22" s="9">
        <f>MIN(MAX('Loss Trend'!O20-$W$2, 0), $W$3)*$D22/$D$28</f>
        <v>0</v>
      </c>
      <c r="AA22" s="9">
        <f>MIN(MAX('Loss Trend'!P20-$W$2, 0), $W$3)*$D22/$D$28</f>
        <v>10703099.886402506</v>
      </c>
      <c r="AB22" s="9">
        <f t="shared" si="3"/>
        <v>21406199.772805013</v>
      </c>
      <c r="AD22" s="14">
        <v>2017</v>
      </c>
      <c r="AE22" s="9">
        <f t="shared" si="4"/>
        <v>50000000</v>
      </c>
    </row>
    <row r="23" spans="2:31" x14ac:dyDescent="0.25">
      <c r="B23">
        <f t="shared" si="10"/>
        <v>3</v>
      </c>
      <c r="C23">
        <v>2020</v>
      </c>
      <c r="D23" s="9">
        <f>INDEX('Premium Trend'!$D$5:$D$19, MATCH(C23, 'Premium Trend'!$B$5:$B$19, 0))</f>
        <v>139140298.52323258</v>
      </c>
      <c r="F23">
        <v>2020</v>
      </c>
      <c r="G23" s="9">
        <f>MIN(MAX('Loss Trend'!L21-$G$2, 0), $G$3)*$D23/$D$28</f>
        <v>0</v>
      </c>
      <c r="H23" s="9">
        <f>MIN(MAX('Loss Trend'!M21-$G$2, 0), $G$3)*$D23/$D$28</f>
        <v>0</v>
      </c>
      <c r="I23" s="9">
        <f>MIN(MAX('Loss Trend'!N21-$G$2, 0), $G$3)*$D23/$D$28</f>
        <v>0</v>
      </c>
      <c r="J23" s="9">
        <f>MIN(MAX('Loss Trend'!O21-$G$2, 0), $G$3)*$D23/$D$28</f>
        <v>0</v>
      </c>
      <c r="K23" s="9">
        <f>MIN(MAX('Loss Trend'!P21-$G$2, 0), $G$3)*$D23/$D$28</f>
        <v>0</v>
      </c>
      <c r="L23" s="9">
        <f t="shared" si="5"/>
        <v>0</v>
      </c>
      <c r="M23" s="9"/>
      <c r="N23">
        <v>2020</v>
      </c>
      <c r="O23" s="9">
        <f>MIN(MAX('Loss Trend'!L21-$O$2, 0), $O$3)*$D23/$D$28</f>
        <v>0</v>
      </c>
      <c r="P23" s="9">
        <f>MIN(MAX('Loss Trend'!M21-$O$2, 0), $O$3)*$D23/$D$28</f>
        <v>0</v>
      </c>
      <c r="Q23" s="9">
        <f>MIN(MAX('Loss Trend'!N21-$O$2, 0), $O$3)*$D23/$D$28</f>
        <v>0</v>
      </c>
      <c r="R23" s="9">
        <f>MIN(MAX('Loss Trend'!O21-$O$2, 0), $O$3)*$D23/$D$28</f>
        <v>0</v>
      </c>
      <c r="S23" s="9">
        <f>MIN(MAX('Loss Trend'!P21-$O$2, 0), $O$3)*$D23/$D$28</f>
        <v>0</v>
      </c>
      <c r="T23" s="9">
        <f t="shared" si="6"/>
        <v>0</v>
      </c>
      <c r="V23">
        <v>2020</v>
      </c>
      <c r="W23" s="9">
        <f>MIN(MAX('Loss Trend'!L21-$W$2, 0), $W$3)*$D23/$D$28</f>
        <v>0</v>
      </c>
      <c r="X23" s="9">
        <f>MIN(MAX('Loss Trend'!M21-$W$2, 0), $W$3)*$D23/$D$28</f>
        <v>0</v>
      </c>
      <c r="Y23" s="9">
        <f>MIN(MAX('Loss Trend'!N21-$W$2, 0), $W$3)*$D23/$D$28</f>
        <v>0</v>
      </c>
      <c r="Z23" s="9">
        <f>MIN(MAX('Loss Trend'!O21-$W$2, 0), $W$3)*$D23/$D$28</f>
        <v>0</v>
      </c>
      <c r="AA23" s="9">
        <f>MIN(MAX('Loss Trend'!P21-$W$2, 0), $W$3)*$D23/$D$28</f>
        <v>4270916.8147205655</v>
      </c>
      <c r="AB23" s="9">
        <f t="shared" si="3"/>
        <v>4270916.8147205655</v>
      </c>
      <c r="AD23" s="14">
        <v>2018</v>
      </c>
      <c r="AE23" s="9">
        <f t="shared" si="4"/>
        <v>0</v>
      </c>
    </row>
    <row r="24" spans="2:31" x14ac:dyDescent="0.25">
      <c r="B24">
        <f t="shared" si="10"/>
        <v>3</v>
      </c>
      <c r="C24">
        <v>2020</v>
      </c>
      <c r="D24" s="9">
        <f>INDEX('Premium Trend'!$D$5:$D$19, MATCH(C24, 'Premium Trend'!$B$5:$B$19, 0))</f>
        <v>139140298.52323258</v>
      </c>
      <c r="F24">
        <v>2020</v>
      </c>
      <c r="G24" s="9">
        <f>MIN(MAX('Loss Trend'!L22-$G$2, 0), $G$3)*$D24/$D$28</f>
        <v>0</v>
      </c>
      <c r="H24" s="9">
        <f>MIN(MAX('Loss Trend'!M22-$G$2, 0), $G$3)*$D24/$D$28</f>
        <v>0</v>
      </c>
      <c r="I24" s="9">
        <f>MIN(MAX('Loss Trend'!N22-$G$2, 0), $G$3)*$D24/$D$28</f>
        <v>0</v>
      </c>
      <c r="J24" s="9">
        <f>MIN(MAX('Loss Trend'!O22-$G$2, 0), $G$3)*$D24/$D$28</f>
        <v>0</v>
      </c>
      <c r="K24" s="9">
        <f>MIN(MAX('Loss Trend'!P22-$G$2, 0), $G$3)*$D24/$D$28</f>
        <v>1586539.2265862427</v>
      </c>
      <c r="L24" s="9">
        <f t="shared" si="5"/>
        <v>1586539.2265862427</v>
      </c>
      <c r="M24" s="9"/>
      <c r="N24">
        <v>2020</v>
      </c>
      <c r="O24" s="9">
        <f>MIN(MAX('Loss Trend'!L22-$O$2, 0), $O$3)*$D24/$D$28</f>
        <v>0</v>
      </c>
      <c r="P24" s="9">
        <f>MIN(MAX('Loss Trend'!M22-$O$2, 0), $O$3)*$D24/$D$28</f>
        <v>0</v>
      </c>
      <c r="Q24" s="9">
        <f>MIN(MAX('Loss Trend'!N22-$O$2, 0), $O$3)*$D24/$D$28</f>
        <v>0</v>
      </c>
      <c r="R24" s="9">
        <f>MIN(MAX('Loss Trend'!O22-$O$2, 0), $O$3)*$D24/$D$28</f>
        <v>0</v>
      </c>
      <c r="S24" s="9">
        <f>MIN(MAX('Loss Trend'!P22-$O$2, 0), $O$3)*$D24/$D$28</f>
        <v>0</v>
      </c>
      <c r="T24" s="9">
        <f t="shared" si="6"/>
        <v>0</v>
      </c>
      <c r="V24">
        <v>2020</v>
      </c>
      <c r="W24" s="9">
        <f>MIN(MAX('Loss Trend'!L22-$W$2, 0), $W$3)*$D24/$D$28</f>
        <v>0</v>
      </c>
      <c r="X24" s="9">
        <f>MIN(MAX('Loss Trend'!M22-$W$2, 0), $W$3)*$D24/$D$28</f>
        <v>0</v>
      </c>
      <c r="Y24" s="9">
        <f>MIN(MAX('Loss Trend'!N22-$W$2, 0), $W$3)*$D24/$D$28</f>
        <v>0</v>
      </c>
      <c r="Z24" s="9">
        <f>MIN(MAX('Loss Trend'!O22-$W$2, 0), $W$3)*$D24/$D$28</f>
        <v>0</v>
      </c>
      <c r="AA24" s="9">
        <f>MIN(MAX('Loss Trend'!P22-$W$2, 0), $W$3)*$D24/$D$28</f>
        <v>10703099.886402506</v>
      </c>
      <c r="AB24" s="9">
        <f t="shared" si="3"/>
        <v>10703099.886402506</v>
      </c>
      <c r="AD24" s="14">
        <v>2019</v>
      </c>
      <c r="AE24" s="9">
        <f t="shared" si="4"/>
        <v>0</v>
      </c>
    </row>
    <row r="25" spans="2:31" x14ac:dyDescent="0.25">
      <c r="B25">
        <f t="shared" si="10"/>
        <v>2</v>
      </c>
      <c r="C25">
        <v>2021</v>
      </c>
      <c r="D25" s="9">
        <f>INDEX('Premium Trend'!$D$5:$D$19, MATCH(C25, 'Premium Trend'!$B$5:$B$19, 0))</f>
        <v>134255300.58769634</v>
      </c>
      <c r="F25">
        <v>2021</v>
      </c>
      <c r="G25" s="9">
        <f>MIN(MAX('Loss Trend'!L23-$G$2, 0), $G$3)*$D25/$D$28</f>
        <v>0</v>
      </c>
      <c r="H25" s="9">
        <f>MIN(MAX('Loss Trend'!M23-$G$2, 0), $G$3)*$D25/$D$28</f>
        <v>0</v>
      </c>
      <c r="I25" s="9">
        <f>MIN(MAX('Loss Trend'!N23-$G$2, 0), $G$3)*$D25/$D$28</f>
        <v>0</v>
      </c>
      <c r="J25" s="9">
        <f>MIN(MAX('Loss Trend'!O23-$G$2, 0), $G$3)*$D25/$D$28</f>
        <v>0</v>
      </c>
      <c r="K25" s="9">
        <f>MIN(MAX('Loss Trend'!P23-$G$2, 0), $G$3)*$D25/$D$28</f>
        <v>15490996.221657271</v>
      </c>
      <c r="L25" s="9">
        <f t="shared" si="5"/>
        <v>15490996.221657271</v>
      </c>
      <c r="M25" s="9"/>
      <c r="N25">
        <v>2021</v>
      </c>
      <c r="O25" s="9">
        <f>MIN(MAX('Loss Trend'!L23-$O$2, 0), $O$3)*$D25/$D$28</f>
        <v>0</v>
      </c>
      <c r="P25" s="9">
        <f>MIN(MAX('Loss Trend'!M23-$O$2, 0), $O$3)*$D25/$D$28</f>
        <v>0</v>
      </c>
      <c r="Q25" s="9">
        <f>MIN(MAX('Loss Trend'!N23-$O$2, 0), $O$3)*$D25/$D$28</f>
        <v>0</v>
      </c>
      <c r="R25" s="9">
        <f>MIN(MAX('Loss Trend'!O23-$O$2, 0), $O$3)*$D25/$D$28</f>
        <v>0</v>
      </c>
      <c r="S25" s="9">
        <f>MIN(MAX('Loss Trend'!P23-$O$2, 0), $O$3)*$D25/$D$28</f>
        <v>26108008.665440436</v>
      </c>
      <c r="T25" s="9">
        <f t="shared" si="6"/>
        <v>26108008.665440436</v>
      </c>
      <c r="V25">
        <v>2021</v>
      </c>
      <c r="W25" s="9">
        <f>MIN(MAX('Loss Trend'!L23-$W$2, 0), $W$3)*$D25/$D$28</f>
        <v>0</v>
      </c>
      <c r="X25" s="9">
        <f>MIN(MAX('Loss Trend'!M23-$W$2, 0), $W$3)*$D25/$D$28</f>
        <v>0</v>
      </c>
      <c r="Y25" s="9">
        <f>MIN(MAX('Loss Trend'!N23-$W$2, 0), $W$3)*$D25/$D$28</f>
        <v>845808.39370248606</v>
      </c>
      <c r="Z25" s="9">
        <f>MIN(MAX('Loss Trend'!O23-$W$2, 0), $W$3)*$D25/$D$28</f>
        <v>0</v>
      </c>
      <c r="AA25" s="9">
        <f>MIN(MAX('Loss Trend'!P23-$W$2, 0), $W$3)*$D25/$D$28</f>
        <v>10327330.814438181</v>
      </c>
      <c r="AB25" s="9">
        <f t="shared" si="3"/>
        <v>11173139.208140668</v>
      </c>
      <c r="AD25" s="14">
        <v>2020</v>
      </c>
      <c r="AE25" s="9">
        <f t="shared" si="4"/>
        <v>16380216.473928079</v>
      </c>
    </row>
    <row r="26" spans="2:31" x14ac:dyDescent="0.25">
      <c r="B26">
        <f t="shared" si="10"/>
        <v>2</v>
      </c>
      <c r="C26">
        <v>2021</v>
      </c>
      <c r="D26" s="9">
        <f>INDEX('Premium Trend'!$D$5:$D$19, MATCH(C26, 'Premium Trend'!$B$5:$B$19, 0))</f>
        <v>134255300.58769634</v>
      </c>
      <c r="F26">
        <v>2021</v>
      </c>
      <c r="G26" s="9">
        <f>MIN(MAX('Loss Trend'!L24-$G$2, 0), $G$3)*$D26/$D$28</f>
        <v>0</v>
      </c>
      <c r="H26" s="9">
        <f>MIN(MAX('Loss Trend'!M24-$G$2, 0), $G$3)*$D26/$D$28</f>
        <v>0</v>
      </c>
      <c r="I26" s="9">
        <f>MIN(MAX('Loss Trend'!N24-$G$2, 0), $G$3)*$D26/$D$28</f>
        <v>0</v>
      </c>
      <c r="J26" s="9">
        <f>MIN(MAX('Loss Trend'!O24-$G$2, 0), $G$3)*$D26/$D$28</f>
        <v>0</v>
      </c>
      <c r="K26" s="9">
        <f>MIN(MAX('Loss Trend'!P24-$G$2, 0), $G$3)*$D26/$D$28</f>
        <v>5542162.0815682448</v>
      </c>
      <c r="L26" s="9">
        <f t="shared" si="5"/>
        <v>5542162.0815682448</v>
      </c>
      <c r="M26" s="9"/>
      <c r="N26">
        <v>2021</v>
      </c>
      <c r="O26" s="9">
        <f>MIN(MAX('Loss Trend'!L24-$O$2, 0), $O$3)*$D26/$D$28</f>
        <v>0</v>
      </c>
      <c r="P26" s="9">
        <f>MIN(MAX('Loss Trend'!M24-$O$2, 0), $O$3)*$D26/$D$28</f>
        <v>0</v>
      </c>
      <c r="Q26" s="9">
        <f>MIN(MAX('Loss Trend'!N24-$O$2, 0), $O$3)*$D26/$D$28</f>
        <v>0</v>
      </c>
      <c r="R26" s="9">
        <f>MIN(MAX('Loss Trend'!O24-$O$2, 0), $O$3)*$D26/$D$28</f>
        <v>0</v>
      </c>
      <c r="S26" s="9">
        <f>MIN(MAX('Loss Trend'!P24-$O$2, 0), $O$3)*$D26/$D$28</f>
        <v>0</v>
      </c>
      <c r="T26" s="9">
        <f t="shared" si="6"/>
        <v>0</v>
      </c>
      <c r="V26">
        <v>2021</v>
      </c>
      <c r="W26" s="9">
        <f>MIN(MAX('Loss Trend'!L24-$W$2, 0), $W$3)*$D26/$D$28</f>
        <v>0</v>
      </c>
      <c r="X26" s="9">
        <f>MIN(MAX('Loss Trend'!M24-$W$2, 0), $W$3)*$D26/$D$28</f>
        <v>0</v>
      </c>
      <c r="Y26" s="9">
        <f>MIN(MAX('Loss Trend'!N24-$W$2, 0), $W$3)*$D26/$D$28</f>
        <v>0</v>
      </c>
      <c r="Z26" s="9">
        <f>MIN(MAX('Loss Trend'!O24-$W$2, 0), $W$3)*$D26/$D$28</f>
        <v>0</v>
      </c>
      <c r="AA26" s="9">
        <f>MIN(MAX('Loss Trend'!P24-$W$2, 0), $W$3)*$D26/$D$28</f>
        <v>10327330.814438181</v>
      </c>
      <c r="AB26" s="9">
        <f t="shared" si="3"/>
        <v>10327330.814438181</v>
      </c>
      <c r="AD26" s="14">
        <v>2021</v>
      </c>
      <c r="AE26" s="9">
        <f t="shared" si="4"/>
        <v>1500470.0225788504</v>
      </c>
    </row>
    <row r="27" spans="2:31" x14ac:dyDescent="0.25">
      <c r="B27">
        <f t="shared" si="10"/>
        <v>1</v>
      </c>
      <c r="C27">
        <v>2022</v>
      </c>
      <c r="D27" s="9">
        <f>INDEX('Premium Trend'!$D$5:$D$19, MATCH(C27, 'Premium Trend'!$B$5:$B$19, 0))</f>
        <v>131113478.08065222</v>
      </c>
      <c r="F27">
        <v>2022</v>
      </c>
      <c r="G27" s="9">
        <f>MIN(MAX('Loss Trend'!L25-$G$2, 0), $G$3)*$D27/$D$28</f>
        <v>0</v>
      </c>
      <c r="H27" s="9">
        <f>MIN(MAX('Loss Trend'!M25-$G$2, 0), $G$3)*$D27/$D$28</f>
        <v>12939891.721344365</v>
      </c>
      <c r="I27" s="9">
        <f>MIN(MAX('Loss Trend'!N25-$G$2, 0), $G$3)*$D27/$D$28</f>
        <v>0</v>
      </c>
      <c r="J27" s="9">
        <f>MIN(MAX('Loss Trend'!O25-$G$2, 0), $G$3)*$D27/$D$28</f>
        <v>0</v>
      </c>
      <c r="K27" s="9">
        <f>MIN(MAX('Loss Trend'!P25-$G$2, 0), $G$3)*$D27/$D$28</f>
        <v>1457376.7371272477</v>
      </c>
      <c r="L27" s="9">
        <f t="shared" si="5"/>
        <v>14397268.458471613</v>
      </c>
      <c r="M27" s="9"/>
      <c r="N27">
        <v>2022</v>
      </c>
      <c r="O27" s="9">
        <f>MIN(MAX('Loss Trend'!L25-$O$2, 0), $O$3)*$D27/$D$28</f>
        <v>0</v>
      </c>
      <c r="P27" s="9">
        <f>MIN(MAX('Loss Trend'!M25-$O$2, 0), $O$3)*$D27/$D$28</f>
        <v>0</v>
      </c>
      <c r="Q27" s="9">
        <f>MIN(MAX('Loss Trend'!N25-$O$2, 0), $O$3)*$D27/$D$28</f>
        <v>0</v>
      </c>
      <c r="R27" s="9">
        <f>MIN(MAX('Loss Trend'!O25-$O$2, 0), $O$3)*$D27/$D$28</f>
        <v>0</v>
      </c>
      <c r="S27" s="9">
        <f>MIN(MAX('Loss Trend'!P25-$O$2, 0), $O$3)*$D27/$D$28</f>
        <v>0</v>
      </c>
      <c r="T27" s="9">
        <f t="shared" si="6"/>
        <v>0</v>
      </c>
      <c r="V27">
        <v>2022</v>
      </c>
      <c r="W27" s="9">
        <f>MIN(MAX('Loss Trend'!L25-$W$2, 0), $W$3)*$D27/$D$28</f>
        <v>60513.91296030103</v>
      </c>
      <c r="X27" s="9">
        <f>MIN(MAX('Loss Trend'!M25-$W$2, 0), $W$3)*$D27/$D$28</f>
        <v>10085652.16005017</v>
      </c>
      <c r="Y27" s="9">
        <f>MIN(MAX('Loss Trend'!N25-$W$2, 0), $W$3)*$D27/$D$28</f>
        <v>5163853.9059456876</v>
      </c>
      <c r="Z27" s="9">
        <f>MIN(MAX('Loss Trend'!O25-$W$2, 0), $W$3)*$D27/$D$28</f>
        <v>0</v>
      </c>
      <c r="AA27" s="9">
        <f>MIN(MAX('Loss Trend'!P25-$W$2, 0), $W$3)*$D27/$D$28</f>
        <v>10085652.16005017</v>
      </c>
      <c r="AB27" s="9">
        <f t="shared" si="3"/>
        <v>25395672.139006332</v>
      </c>
      <c r="AD27" s="14">
        <v>2022</v>
      </c>
      <c r="AE27" s="9">
        <f t="shared" si="4"/>
        <v>5395672.1390063316</v>
      </c>
    </row>
    <row r="28" spans="2:31" x14ac:dyDescent="0.25">
      <c r="C28">
        <v>2023</v>
      </c>
      <c r="D28" s="9">
        <v>130000000</v>
      </c>
      <c r="F28" s="8" t="s">
        <v>4</v>
      </c>
      <c r="G28" s="7">
        <f t="shared" ref="G28:L28" si="11">SUM(G7:G27)</f>
        <v>30545726.592509877</v>
      </c>
      <c r="H28" s="7">
        <f t="shared" si="11"/>
        <v>21069439.071369473</v>
      </c>
      <c r="I28" s="7">
        <f t="shared" si="11"/>
        <v>23956978.493689023</v>
      </c>
      <c r="J28" s="7">
        <f t="shared" si="11"/>
        <v>0</v>
      </c>
      <c r="K28" s="7">
        <f t="shared" si="11"/>
        <v>62202256.414041445</v>
      </c>
      <c r="L28" s="7">
        <f t="shared" si="11"/>
        <v>137774400.57160982</v>
      </c>
      <c r="N28" s="8" t="s">
        <v>4</v>
      </c>
      <c r="O28" s="7">
        <f t="shared" ref="O28:T28" si="12">SUM(O7:O27)</f>
        <v>39848823.829775542</v>
      </c>
      <c r="P28" s="7">
        <f t="shared" si="12"/>
        <v>0</v>
      </c>
      <c r="Q28" s="7">
        <f t="shared" si="12"/>
        <v>0</v>
      </c>
      <c r="R28" s="7">
        <f t="shared" si="12"/>
        <v>0</v>
      </c>
      <c r="S28" s="7">
        <f t="shared" si="12"/>
        <v>29281087.118612923</v>
      </c>
      <c r="T28" s="7">
        <f t="shared" si="12"/>
        <v>69129910.948388457</v>
      </c>
      <c r="V28" s="8" t="s">
        <v>4</v>
      </c>
      <c r="W28" s="7">
        <f t="shared" ref="W28:AB28" si="13">SUM(W7:W27)</f>
        <v>39461468.20415207</v>
      </c>
      <c r="X28" s="7">
        <f t="shared" si="13"/>
        <v>31867732.762805559</v>
      </c>
      <c r="Y28" s="7">
        <f t="shared" si="13"/>
        <v>42467891.034996942</v>
      </c>
      <c r="Z28" s="7">
        <f t="shared" si="13"/>
        <v>0</v>
      </c>
      <c r="AA28" s="7">
        <f t="shared" si="13"/>
        <v>89654372.525510758</v>
      </c>
      <c r="AB28" s="7">
        <f t="shared" si="13"/>
        <v>203451464.52746534</v>
      </c>
      <c r="AD28" s="8" t="s">
        <v>4</v>
      </c>
      <c r="AE28" s="7">
        <f>SUM(AE7:AE27)</f>
        <v>73276358.635513261</v>
      </c>
    </row>
    <row r="29" spans="2:31" x14ac:dyDescent="0.25">
      <c r="D29" s="9"/>
      <c r="AE29" s="9"/>
    </row>
    <row r="30" spans="2:31" x14ac:dyDescent="0.25">
      <c r="C30" s="16" t="s">
        <v>11</v>
      </c>
      <c r="D30" s="16"/>
      <c r="F30" s="16" t="s">
        <v>43</v>
      </c>
      <c r="G30" s="16"/>
      <c r="H30" s="16"/>
      <c r="I30" s="16"/>
      <c r="J30" s="16"/>
      <c r="K30" s="16"/>
      <c r="L30" s="16"/>
      <c r="N30" s="16" t="s">
        <v>43</v>
      </c>
      <c r="O30" s="16"/>
      <c r="P30" s="16"/>
      <c r="Q30" s="16"/>
      <c r="R30" s="16"/>
      <c r="S30" s="16"/>
      <c r="T30" s="16"/>
      <c r="V30" s="16" t="s">
        <v>43</v>
      </c>
      <c r="W30" s="16"/>
      <c r="X30" s="16"/>
      <c r="Y30" s="16"/>
      <c r="Z30" s="16"/>
      <c r="AA30" s="16"/>
      <c r="AB30" s="16"/>
      <c r="AD30" s="16" t="s">
        <v>43</v>
      </c>
      <c r="AE30" s="16"/>
    </row>
    <row r="31" spans="2:31" x14ac:dyDescent="0.25">
      <c r="C31" s="18" t="s">
        <v>45</v>
      </c>
      <c r="D31" s="18" t="s">
        <v>0</v>
      </c>
      <c r="F31" s="18" t="s">
        <v>45</v>
      </c>
      <c r="G31" s="18" t="s">
        <v>41</v>
      </c>
      <c r="H31" s="18" t="s">
        <v>40</v>
      </c>
      <c r="I31" s="18" t="s">
        <v>39</v>
      </c>
      <c r="J31" s="18" t="s">
        <v>38</v>
      </c>
      <c r="K31" s="18" t="s">
        <v>37</v>
      </c>
      <c r="L31" s="18" t="s">
        <v>36</v>
      </c>
      <c r="N31" s="18" t="s">
        <v>45</v>
      </c>
      <c r="O31" s="18" t="s">
        <v>41</v>
      </c>
      <c r="P31" s="18" t="s">
        <v>40</v>
      </c>
      <c r="Q31" s="18" t="s">
        <v>39</v>
      </c>
      <c r="R31" s="18" t="s">
        <v>38</v>
      </c>
      <c r="S31" s="18" t="s">
        <v>37</v>
      </c>
      <c r="T31" s="18" t="s">
        <v>36</v>
      </c>
      <c r="V31" s="18" t="s">
        <v>45</v>
      </c>
      <c r="W31" s="18" t="s">
        <v>41</v>
      </c>
      <c r="X31" s="18" t="s">
        <v>40</v>
      </c>
      <c r="Y31" s="18" t="s">
        <v>39</v>
      </c>
      <c r="Z31" s="18" t="s">
        <v>38</v>
      </c>
      <c r="AA31" s="18" t="s">
        <v>37</v>
      </c>
      <c r="AB31" s="18" t="s">
        <v>36</v>
      </c>
      <c r="AD31" s="18" t="s">
        <v>45</v>
      </c>
      <c r="AE31" s="18" t="s">
        <v>36</v>
      </c>
    </row>
    <row r="32" spans="2:31" x14ac:dyDescent="0.25">
      <c r="C32" s="1">
        <v>15</v>
      </c>
      <c r="D32" s="4">
        <f>'Premium Trend'!D23</f>
        <v>135111079.5702301</v>
      </c>
      <c r="F32" s="1">
        <v>15</v>
      </c>
      <c r="G32" s="13">
        <f t="shared" ref="G32:L32" si="14">SUM(G$7:G$27)/$F32</f>
        <v>2036381.7728339918</v>
      </c>
      <c r="H32" s="13">
        <f t="shared" si="14"/>
        <v>1404629.2714246316</v>
      </c>
      <c r="I32" s="13">
        <f t="shared" si="14"/>
        <v>1597131.8995792682</v>
      </c>
      <c r="J32" s="13">
        <f t="shared" si="14"/>
        <v>0</v>
      </c>
      <c r="K32" s="13">
        <f t="shared" si="14"/>
        <v>4146817.0942694298</v>
      </c>
      <c r="L32" s="13">
        <f t="shared" si="14"/>
        <v>9184960.0381073225</v>
      </c>
      <c r="M32" s="4"/>
      <c r="N32" s="1">
        <v>15</v>
      </c>
      <c r="O32" s="13">
        <f t="shared" ref="O32:T32" si="15">SUM(O$7:O$27)/$F32</f>
        <v>2656588.2553183693</v>
      </c>
      <c r="P32" s="13">
        <f t="shared" si="15"/>
        <v>0</v>
      </c>
      <c r="Q32" s="13">
        <f t="shared" si="15"/>
        <v>0</v>
      </c>
      <c r="R32" s="13">
        <f t="shared" si="15"/>
        <v>0</v>
      </c>
      <c r="S32" s="13">
        <f t="shared" si="15"/>
        <v>1952072.4745741948</v>
      </c>
      <c r="T32" s="13">
        <f t="shared" si="15"/>
        <v>4608660.729892564</v>
      </c>
      <c r="V32" s="1">
        <v>15</v>
      </c>
      <c r="W32" s="13">
        <f t="shared" ref="W32:AB32" si="16">SUM(W$7:W$27)/$F32</f>
        <v>2630764.5469434713</v>
      </c>
      <c r="X32" s="13">
        <f t="shared" si="16"/>
        <v>2124515.5175203704</v>
      </c>
      <c r="Y32" s="13">
        <f t="shared" si="16"/>
        <v>2831192.7356664627</v>
      </c>
      <c r="Z32" s="13">
        <f t="shared" si="16"/>
        <v>0</v>
      </c>
      <c r="AA32" s="13">
        <f t="shared" si="16"/>
        <v>5976958.168367384</v>
      </c>
      <c r="AB32" s="13">
        <f t="shared" si="16"/>
        <v>13563430.96849769</v>
      </c>
      <c r="AD32" s="1">
        <v>15</v>
      </c>
      <c r="AE32" s="4">
        <f>AVERAGE(AE13:AE27)</f>
        <v>4885090.5757008838</v>
      </c>
    </row>
    <row r="33" spans="3:31" x14ac:dyDescent="0.25">
      <c r="C33" s="1">
        <v>10</v>
      </c>
      <c r="D33" s="4">
        <f>'Premium Trend'!D24</f>
        <v>136991466.75475058</v>
      </c>
      <c r="F33" s="1">
        <v>10</v>
      </c>
      <c r="G33" s="13">
        <f t="shared" ref="G33:L33" si="17">SUM(G$12:G$27)/$F33</f>
        <v>1643037.0122007194</v>
      </c>
      <c r="H33" s="13">
        <f t="shared" si="17"/>
        <v>2106943.9071369474</v>
      </c>
      <c r="I33" s="13">
        <f t="shared" si="17"/>
        <v>2395697.8493689024</v>
      </c>
      <c r="J33" s="13">
        <f t="shared" si="17"/>
        <v>0</v>
      </c>
      <c r="K33" s="13">
        <f t="shared" si="17"/>
        <v>6220225.6414041445</v>
      </c>
      <c r="L33" s="13">
        <f t="shared" si="17"/>
        <v>12365904.410110714</v>
      </c>
      <c r="M33" s="4"/>
      <c r="N33" s="1">
        <v>10</v>
      </c>
      <c r="O33" s="13">
        <f t="shared" ref="O33:T33" si="18">SUM(O$12:O$27)/$F33</f>
        <v>1161811.0888770176</v>
      </c>
      <c r="P33" s="13">
        <f t="shared" si="18"/>
        <v>0</v>
      </c>
      <c r="Q33" s="13">
        <f t="shared" si="18"/>
        <v>0</v>
      </c>
      <c r="R33" s="13">
        <f t="shared" si="18"/>
        <v>0</v>
      </c>
      <c r="S33" s="13">
        <f t="shared" si="18"/>
        <v>2928108.7118612924</v>
      </c>
      <c r="T33" s="13">
        <f t="shared" si="18"/>
        <v>4089919.8007383095</v>
      </c>
      <c r="V33" s="1">
        <v>10</v>
      </c>
      <c r="W33" s="13">
        <f t="shared" ref="W33:AB33" si="19">SUM(W$12:W$27)/$F33</f>
        <v>3005123.0557150291</v>
      </c>
      <c r="X33" s="13">
        <f t="shared" si="19"/>
        <v>3186773.2762805559</v>
      </c>
      <c r="Y33" s="13">
        <f t="shared" si="19"/>
        <v>4124730.2743595936</v>
      </c>
      <c r="Z33" s="13">
        <f t="shared" si="19"/>
        <v>0</v>
      </c>
      <c r="AA33" s="13">
        <f t="shared" si="19"/>
        <v>8965437.2525510751</v>
      </c>
      <c r="AB33" s="13">
        <f t="shared" si="19"/>
        <v>19282063.858906258</v>
      </c>
      <c r="AD33" s="1">
        <v>10</v>
      </c>
      <c r="AE33" s="4">
        <f>AVERAGE(AE18:AE27)</f>
        <v>7327635.8635513261</v>
      </c>
    </row>
    <row r="34" spans="3:31" x14ac:dyDescent="0.25">
      <c r="C34" s="1">
        <v>7</v>
      </c>
      <c r="D34" s="4">
        <f>'Premium Trend'!D25</f>
        <v>139462778.87306711</v>
      </c>
      <c r="F34" s="1">
        <v>7</v>
      </c>
      <c r="G34" s="13">
        <f t="shared" ref="G34:L34" si="20">SUM(G$15:G$27)/$F34</f>
        <v>217360.01255567023</v>
      </c>
      <c r="H34" s="13">
        <f t="shared" si="20"/>
        <v>3009919.8673384963</v>
      </c>
      <c r="I34" s="13">
        <f t="shared" si="20"/>
        <v>3422425.4990984318</v>
      </c>
      <c r="J34" s="13">
        <f t="shared" si="20"/>
        <v>0</v>
      </c>
      <c r="K34" s="13">
        <f t="shared" si="20"/>
        <v>8886036.63057735</v>
      </c>
      <c r="L34" s="13">
        <f t="shared" si="20"/>
        <v>15535742.009569947</v>
      </c>
      <c r="M34" s="4"/>
      <c r="N34" s="1">
        <v>7</v>
      </c>
      <c r="O34" s="13">
        <f t="shared" ref="O34:T34" si="21">SUM(O$15:O$27)/$F34</f>
        <v>0</v>
      </c>
      <c r="P34" s="13">
        <f t="shared" si="21"/>
        <v>0</v>
      </c>
      <c r="Q34" s="13">
        <f t="shared" si="21"/>
        <v>0</v>
      </c>
      <c r="R34" s="13">
        <f t="shared" si="21"/>
        <v>0</v>
      </c>
      <c r="S34" s="13">
        <f t="shared" si="21"/>
        <v>4183012.4455161318</v>
      </c>
      <c r="T34" s="13">
        <f t="shared" si="21"/>
        <v>4183012.4455161318</v>
      </c>
      <c r="V34" s="1">
        <v>7</v>
      </c>
      <c r="W34" s="13">
        <f t="shared" ref="W34:AB34" si="22">SUM(W$15:W$27)/$F34</f>
        <v>2873142.4572959938</v>
      </c>
      <c r="X34" s="13">
        <f t="shared" si="22"/>
        <v>4552533.2518293653</v>
      </c>
      <c r="Y34" s="13">
        <f t="shared" si="22"/>
        <v>5892471.8205137048</v>
      </c>
      <c r="Z34" s="13">
        <f t="shared" si="22"/>
        <v>0</v>
      </c>
      <c r="AA34" s="13">
        <f t="shared" si="22"/>
        <v>12807767.503644394</v>
      </c>
      <c r="AB34" s="13">
        <f t="shared" si="22"/>
        <v>26125915.033283465</v>
      </c>
      <c r="AD34" s="1">
        <v>7</v>
      </c>
      <c r="AE34" s="4">
        <f>AVERAGE(AE21:AE27)</f>
        <v>10468051.233644752</v>
      </c>
    </row>
    <row r="35" spans="3:31" x14ac:dyDescent="0.25">
      <c r="C35" s="1">
        <v>5</v>
      </c>
      <c r="D35" s="4">
        <f>'Premium Trend'!D26</f>
        <v>139293857.76225519</v>
      </c>
      <c r="F35" s="1">
        <v>5</v>
      </c>
      <c r="G35" s="13">
        <f t="shared" ref="G35:L35" si="23">SUM(G$19:G$27)/$F35</f>
        <v>0</v>
      </c>
      <c r="H35" s="13">
        <f t="shared" si="23"/>
        <v>3546783.9734475762</v>
      </c>
      <c r="I35" s="13">
        <f t="shared" si="23"/>
        <v>917589.25434650516</v>
      </c>
      <c r="J35" s="13">
        <f t="shared" si="23"/>
        <v>0</v>
      </c>
      <c r="K35" s="13">
        <f t="shared" si="23"/>
        <v>8026344.819308552</v>
      </c>
      <c r="L35" s="13">
        <f t="shared" si="23"/>
        <v>12490718.047102634</v>
      </c>
      <c r="M35" s="4"/>
      <c r="N35" s="1">
        <v>5</v>
      </c>
      <c r="O35" s="13">
        <f t="shared" ref="O35:T35" si="24">SUM(O$19:O$27)/$F35</f>
        <v>0</v>
      </c>
      <c r="P35" s="13">
        <f t="shared" si="24"/>
        <v>0</v>
      </c>
      <c r="Q35" s="13">
        <f t="shared" si="24"/>
        <v>0</v>
      </c>
      <c r="R35" s="13">
        <f t="shared" si="24"/>
        <v>0</v>
      </c>
      <c r="S35" s="13">
        <f t="shared" si="24"/>
        <v>5856217.4237225847</v>
      </c>
      <c r="T35" s="13">
        <f t="shared" si="24"/>
        <v>5856217.4237225847</v>
      </c>
      <c r="V35" s="1">
        <v>5</v>
      </c>
      <c r="W35" s="13">
        <f t="shared" ref="W35:AB35" si="25">SUM(W$19:W$27)/$F35</f>
        <v>12102.782592060206</v>
      </c>
      <c r="X35" s="13">
        <f t="shared" si="25"/>
        <v>4157750.4092905358</v>
      </c>
      <c r="Y35" s="13">
        <f t="shared" si="25"/>
        <v>3453279.0281911194</v>
      </c>
      <c r="Z35" s="13">
        <f t="shared" si="25"/>
        <v>0</v>
      </c>
      <c r="AA35" s="13">
        <f t="shared" si="25"/>
        <v>11283486.075290421</v>
      </c>
      <c r="AB35" s="13">
        <f t="shared" si="25"/>
        <v>18906618.295364138</v>
      </c>
      <c r="AD35" s="1">
        <v>5</v>
      </c>
      <c r="AE35" s="4">
        <f>AVERAGE(AE23:AE27)</f>
        <v>4655271.7271026522</v>
      </c>
    </row>
    <row r="36" spans="3:31" x14ac:dyDescent="0.25">
      <c r="C36" s="1"/>
      <c r="D36" s="4"/>
      <c r="F36" s="1"/>
      <c r="G36" s="4"/>
      <c r="H36" s="4"/>
      <c r="I36" s="4"/>
      <c r="J36" s="4"/>
      <c r="K36" s="4"/>
      <c r="L36" s="4"/>
      <c r="M36" s="4"/>
      <c r="N36" s="1"/>
      <c r="O36" s="4"/>
      <c r="P36" s="4"/>
      <c r="Q36" s="4"/>
      <c r="R36" s="4"/>
      <c r="S36" s="4"/>
      <c r="T36" s="4"/>
      <c r="V36" s="1"/>
      <c r="W36" s="4"/>
      <c r="X36" s="4"/>
      <c r="Y36" s="4"/>
      <c r="Z36" s="4"/>
      <c r="AA36" s="4"/>
      <c r="AB36" s="4"/>
      <c r="AD36" s="1"/>
      <c r="AE36" s="4"/>
    </row>
    <row r="37" spans="3:31" x14ac:dyDescent="0.25">
      <c r="F37" s="1" t="s">
        <v>24</v>
      </c>
      <c r="G37" s="36"/>
      <c r="H37" s="36"/>
      <c r="I37" s="36"/>
      <c r="J37" s="36"/>
      <c r="K37" s="36"/>
      <c r="L37" s="4">
        <f>SUM(G37:K37)</f>
        <v>0</v>
      </c>
      <c r="N37" s="1" t="s">
        <v>24</v>
      </c>
      <c r="O37" s="36"/>
      <c r="P37" s="36"/>
      <c r="Q37" s="36"/>
      <c r="R37" s="36"/>
      <c r="S37" s="36"/>
      <c r="T37" s="4">
        <f>SUM(O37:S37)</f>
        <v>0</v>
      </c>
      <c r="AD37" s="1" t="s">
        <v>24</v>
      </c>
      <c r="AE37" s="36"/>
    </row>
    <row r="38" spans="3:31" ht="15.75" thickBot="1" x14ac:dyDescent="0.3">
      <c r="F38" s="1" t="s">
        <v>13</v>
      </c>
      <c r="G38" s="40">
        <v>2150000</v>
      </c>
      <c r="H38" s="40">
        <v>175000</v>
      </c>
      <c r="I38" s="40">
        <v>165000</v>
      </c>
      <c r="J38" s="40">
        <v>260000</v>
      </c>
      <c r="K38" s="40">
        <v>850000</v>
      </c>
      <c r="L38" s="4">
        <f>SUM(G38:K38)</f>
        <v>3600000</v>
      </c>
      <c r="N38" s="1" t="s">
        <v>13</v>
      </c>
      <c r="O38" s="40">
        <v>1812500</v>
      </c>
      <c r="P38" s="40">
        <v>105000</v>
      </c>
      <c r="Q38" s="40">
        <v>150000</v>
      </c>
      <c r="R38" s="40">
        <v>100000</v>
      </c>
      <c r="S38" s="40">
        <v>382500</v>
      </c>
      <c r="T38" s="4">
        <f>SUM(O38:S38)</f>
        <v>2550000</v>
      </c>
      <c r="AD38" s="1" t="s">
        <v>13</v>
      </c>
      <c r="AE38" s="40">
        <v>2600000</v>
      </c>
    </row>
    <row r="39" spans="3:31" ht="15.75" thickBot="1" x14ac:dyDescent="0.3">
      <c r="F39" s="1" t="s">
        <v>21</v>
      </c>
      <c r="G39" s="41"/>
      <c r="H39" s="42"/>
      <c r="I39" s="42"/>
      <c r="J39" s="42"/>
      <c r="K39" s="43"/>
      <c r="L39" s="24">
        <f>SUM(G39:K39)</f>
        <v>0</v>
      </c>
      <c r="N39" s="1" t="s">
        <v>21</v>
      </c>
      <c r="O39" s="41"/>
      <c r="P39" s="42"/>
      <c r="Q39" s="42"/>
      <c r="R39" s="42"/>
      <c r="S39" s="43"/>
      <c r="T39" s="24">
        <f>SUM(O39:S39)</f>
        <v>0</v>
      </c>
      <c r="AD39" s="1" t="s">
        <v>21</v>
      </c>
      <c r="AE39" s="44"/>
    </row>
    <row r="41" spans="3:31" x14ac:dyDescent="0.25">
      <c r="C41" s="16" t="s">
        <v>12</v>
      </c>
      <c r="D41" s="16"/>
      <c r="F41" s="16" t="s">
        <v>44</v>
      </c>
      <c r="G41" s="16"/>
      <c r="H41" s="16"/>
      <c r="I41" s="16"/>
      <c r="J41" s="16"/>
      <c r="K41" s="16"/>
      <c r="L41" s="16"/>
      <c r="N41" s="16" t="s">
        <v>44</v>
      </c>
      <c r="O41" s="16"/>
      <c r="P41" s="16"/>
      <c r="Q41" s="16"/>
      <c r="R41" s="16"/>
      <c r="S41" s="16"/>
      <c r="T41" s="16"/>
      <c r="V41" s="16" t="s">
        <v>44</v>
      </c>
      <c r="W41" s="16"/>
      <c r="X41" s="16"/>
      <c r="Y41" s="16"/>
      <c r="Z41" s="16"/>
      <c r="AA41" s="16"/>
      <c r="AB41" s="16"/>
      <c r="AD41" s="16" t="s">
        <v>44</v>
      </c>
      <c r="AE41" s="16"/>
    </row>
    <row r="42" spans="3:31" x14ac:dyDescent="0.25">
      <c r="C42" s="18" t="s">
        <v>45</v>
      </c>
      <c r="D42" s="18" t="s">
        <v>0</v>
      </c>
      <c r="F42" s="18" t="s">
        <v>45</v>
      </c>
      <c r="G42" s="18" t="s">
        <v>41</v>
      </c>
      <c r="H42" s="18" t="s">
        <v>40</v>
      </c>
      <c r="I42" s="18" t="s">
        <v>39</v>
      </c>
      <c r="J42" s="18" t="s">
        <v>38</v>
      </c>
      <c r="K42" s="18" t="s">
        <v>37</v>
      </c>
      <c r="L42" s="18" t="s">
        <v>36</v>
      </c>
      <c r="N42" s="18" t="s">
        <v>45</v>
      </c>
      <c r="O42" s="18" t="s">
        <v>41</v>
      </c>
      <c r="P42" s="18" t="s">
        <v>40</v>
      </c>
      <c r="Q42" s="18" t="s">
        <v>39</v>
      </c>
      <c r="R42" s="18" t="s">
        <v>38</v>
      </c>
      <c r="S42" s="18" t="s">
        <v>37</v>
      </c>
      <c r="T42" s="18" t="s">
        <v>36</v>
      </c>
      <c r="V42" s="18" t="s">
        <v>45</v>
      </c>
      <c r="W42" s="18" t="s">
        <v>41</v>
      </c>
      <c r="X42" s="18" t="s">
        <v>40</v>
      </c>
      <c r="Y42" s="18" t="s">
        <v>39</v>
      </c>
      <c r="Z42" s="18" t="s">
        <v>38</v>
      </c>
      <c r="AA42" s="18" t="s">
        <v>37</v>
      </c>
      <c r="AB42" s="18" t="s">
        <v>36</v>
      </c>
      <c r="AD42" s="18" t="s">
        <v>45</v>
      </c>
      <c r="AE42" s="18" t="s">
        <v>36</v>
      </c>
    </row>
    <row r="43" spans="3:31" x14ac:dyDescent="0.25">
      <c r="C43" s="1">
        <v>15</v>
      </c>
      <c r="D43" s="5">
        <f>'Premium Trend'!D29</f>
        <v>4.6820487337865001E-2</v>
      </c>
      <c r="F43" s="1">
        <v>15</v>
      </c>
      <c r="G43" s="6">
        <f>IFERROR(_xlfn.STDEV.P(G50:G64)/G32, 0)</f>
        <v>2.4111654438397965</v>
      </c>
      <c r="H43" s="6">
        <f t="shared" ref="H43:K43" si="26">IFERROR(_xlfn.STDEV.P(H50:H64)/H32, 0)</f>
        <v>2.4104568106593649</v>
      </c>
      <c r="I43" s="6">
        <f t="shared" si="26"/>
        <v>3.0585984779232893</v>
      </c>
      <c r="J43" s="6">
        <f t="shared" si="26"/>
        <v>0</v>
      </c>
      <c r="K43" s="6">
        <f t="shared" si="26"/>
        <v>1.9540457838434211</v>
      </c>
      <c r="L43" s="6">
        <f t="shared" ref="L43" si="27">IFERROR(_xlfn.STDEV.P(L50:L64)/L32, 0)</f>
        <v>1.3980843364186371</v>
      </c>
      <c r="M43" s="5"/>
      <c r="N43" s="1">
        <v>15</v>
      </c>
      <c r="O43" s="6">
        <f t="shared" ref="O43:T43" si="28">IFERROR(_xlfn.STDEV.P(O50:O64)/O32, 0)</f>
        <v>2.7934716041041563</v>
      </c>
      <c r="P43" s="6">
        <f t="shared" si="28"/>
        <v>0</v>
      </c>
      <c r="Q43" s="6">
        <f t="shared" si="28"/>
        <v>0</v>
      </c>
      <c r="R43" s="6">
        <f t="shared" si="28"/>
        <v>0</v>
      </c>
      <c r="S43" s="6">
        <f t="shared" si="28"/>
        <v>3.3318631957341114</v>
      </c>
      <c r="T43" s="6">
        <f t="shared" si="28"/>
        <v>2.023922390796232</v>
      </c>
      <c r="V43" s="1">
        <v>15</v>
      </c>
      <c r="W43" s="6">
        <f>IFERROR(_xlfn.STDEV.P(W50:W64)/W32, 0)</f>
        <v>2.1627607761035712</v>
      </c>
      <c r="X43" s="6">
        <f t="shared" ref="X43:AB43" si="29">IFERROR(_xlfn.STDEV.P(X50:X64)/X32, 0)</f>
        <v>2.0018567843878534</v>
      </c>
      <c r="Y43" s="6">
        <f t="shared" si="29"/>
        <v>2.0988369765438519</v>
      </c>
      <c r="Z43" s="6">
        <f t="shared" si="29"/>
        <v>0</v>
      </c>
      <c r="AA43" s="6">
        <f t="shared" si="29"/>
        <v>1.8104903224184785</v>
      </c>
      <c r="AB43" s="6">
        <f t="shared" si="29"/>
        <v>1.6460418944375965</v>
      </c>
      <c r="AD43" s="1">
        <v>15</v>
      </c>
      <c r="AE43" s="6">
        <f>IFERROR(_xlfn.STDEV.P(AE13:AE27)/AE32, 0)</f>
        <v>2.6117355096533594</v>
      </c>
    </row>
    <row r="44" spans="3:31" x14ac:dyDescent="0.25">
      <c r="C44" s="1">
        <v>10</v>
      </c>
      <c r="D44" s="5">
        <f>'Premium Trend'!D30</f>
        <v>4.4239240741092305E-2</v>
      </c>
      <c r="F44" s="1">
        <v>10</v>
      </c>
      <c r="G44" s="6">
        <f>IFERROR(_xlfn.STDEV.P(G55:G64)/G33, 0)</f>
        <v>2.7054441299622431</v>
      </c>
      <c r="H44" s="6">
        <f t="shared" ref="H44:K44" si="30">IFERROR(_xlfn.STDEV.P(H55:H64)/H33, 0)</f>
        <v>1.8815422815789742</v>
      </c>
      <c r="I44" s="6">
        <f t="shared" si="30"/>
        <v>2.429681000893555</v>
      </c>
      <c r="J44" s="6">
        <f t="shared" si="30"/>
        <v>0</v>
      </c>
      <c r="K44" s="6">
        <f t="shared" si="30"/>
        <v>1.4873454934560988</v>
      </c>
      <c r="L44" s="6">
        <f t="shared" ref="L44" si="31">IFERROR(_xlfn.STDEV.P(L55:L64)/L33, 0)</f>
        <v>1.1466537095808698</v>
      </c>
      <c r="M44" s="5"/>
      <c r="N44" s="1">
        <v>10</v>
      </c>
      <c r="O44" s="6">
        <f t="shared" ref="O44:T44" si="32">IFERROR(_xlfn.STDEV.P(O55:O64)/O33, 0)</f>
        <v>2.9999999999999996</v>
      </c>
      <c r="P44" s="6">
        <f t="shared" si="32"/>
        <v>0</v>
      </c>
      <c r="Q44" s="6">
        <f t="shared" si="32"/>
        <v>0</v>
      </c>
      <c r="R44" s="6">
        <f t="shared" si="32"/>
        <v>0</v>
      </c>
      <c r="S44" s="6">
        <f t="shared" si="32"/>
        <v>2.6584848259973857</v>
      </c>
      <c r="T44" s="6">
        <f t="shared" si="32"/>
        <v>1.9854572341099272</v>
      </c>
      <c r="V44" s="1">
        <v>10</v>
      </c>
      <c r="W44" s="6">
        <f>IFERROR(_xlfn.STDEV.P(W55:W64)/W33, 0)</f>
        <v>2.1321553349585844</v>
      </c>
      <c r="X44" s="6">
        <f t="shared" ref="X44:AB44" si="33">IFERROR(_xlfn.STDEV.P(X55:X64)/X33, 0)</f>
        <v>1.5291458585758864</v>
      </c>
      <c r="Y44" s="6">
        <f t="shared" si="33"/>
        <v>1.6766256785644973</v>
      </c>
      <c r="Z44" s="6">
        <f t="shared" si="33"/>
        <v>0</v>
      </c>
      <c r="AA44" s="6">
        <f t="shared" si="33"/>
        <v>1.3608514999981858</v>
      </c>
      <c r="AB44" s="6">
        <f t="shared" si="33"/>
        <v>1.3148968783577963</v>
      </c>
      <c r="AD44" s="1">
        <v>10</v>
      </c>
      <c r="AE44" s="6">
        <f>IFERROR(_xlfn.STDEV.P(AE18:AE27)/AE33, 0)</f>
        <v>2.0528293276003722</v>
      </c>
    </row>
    <row r="45" spans="3:31" x14ac:dyDescent="0.25">
      <c r="C45" s="1">
        <v>7</v>
      </c>
      <c r="D45" s="5">
        <f>'Premium Trend'!D31</f>
        <v>3.9904792607245242E-2</v>
      </c>
      <c r="F45" s="1">
        <v>7</v>
      </c>
      <c r="G45" s="6">
        <f>IFERROR(_xlfn.STDEV.P(G58:G64)/G34, 0)</f>
        <v>2.4494897427831783</v>
      </c>
      <c r="H45" s="6">
        <f t="shared" ref="H45:K45" si="34">IFERROR(_xlfn.STDEV.P(H58:H64)/H34, 0)</f>
        <v>1.475852618034263</v>
      </c>
      <c r="I45" s="6">
        <f t="shared" si="34"/>
        <v>1.9576375650952795</v>
      </c>
      <c r="J45" s="6">
        <f t="shared" si="34"/>
        <v>0</v>
      </c>
      <c r="K45" s="6">
        <f t="shared" si="34"/>
        <v>1.1173798064368787</v>
      </c>
      <c r="L45" s="6">
        <f t="shared" ref="L45" si="35">IFERROR(_xlfn.STDEV.P(L58:L64)/L34, 0)</f>
        <v>0.98160333651495535</v>
      </c>
      <c r="M45" s="5"/>
      <c r="N45" s="1">
        <v>7</v>
      </c>
      <c r="O45" s="6">
        <f t="shared" ref="O45:T45" si="36">IFERROR(_xlfn.STDEV.P(O58:O64)/O34, 0)</f>
        <v>0</v>
      </c>
      <c r="P45" s="6">
        <f t="shared" si="36"/>
        <v>0</v>
      </c>
      <c r="Q45" s="6">
        <f t="shared" si="36"/>
        <v>0</v>
      </c>
      <c r="R45" s="6">
        <f t="shared" si="36"/>
        <v>0</v>
      </c>
      <c r="S45" s="6">
        <f t="shared" si="36"/>
        <v>2.1557548791643368</v>
      </c>
      <c r="T45" s="6">
        <f t="shared" si="36"/>
        <v>2.1557548791643368</v>
      </c>
      <c r="V45" s="1">
        <v>7</v>
      </c>
      <c r="W45" s="6">
        <f>IFERROR(_xlfn.STDEV.P(W58:W64)/W34, 0)</f>
        <v>2.440902065385786</v>
      </c>
      <c r="X45" s="6">
        <f t="shared" ref="X45:AB45" si="37">IFERROR(_xlfn.STDEV.P(X58:X64)/X34, 0)</f>
        <v>1.1562010810234737</v>
      </c>
      <c r="Y45" s="6">
        <f t="shared" si="37"/>
        <v>1.2914145601685398</v>
      </c>
      <c r="Z45" s="6">
        <f t="shared" si="37"/>
        <v>0</v>
      </c>
      <c r="AA45" s="6">
        <f t="shared" si="37"/>
        <v>0.9981692058629732</v>
      </c>
      <c r="AB45" s="6">
        <f t="shared" si="37"/>
        <v>1.0501773430443093</v>
      </c>
      <c r="AD45" s="1">
        <v>7</v>
      </c>
      <c r="AE45" s="6">
        <f>IFERROR(_xlfn.STDEV.P(AE21:AE27)/AE34, 0)</f>
        <v>1.6278439033824272</v>
      </c>
    </row>
    <row r="46" spans="3:31" x14ac:dyDescent="0.25">
      <c r="C46" s="1">
        <v>5</v>
      </c>
      <c r="D46" s="5">
        <f>'Premium Trend'!D32</f>
        <v>4.3312638471383551E-2</v>
      </c>
      <c r="F46" s="1">
        <v>5</v>
      </c>
      <c r="G46" s="6">
        <f>IFERROR(_xlfn.STDEV.P(G60:G64)/G35, 0)</f>
        <v>0</v>
      </c>
      <c r="H46" s="6">
        <f t="shared" ref="H46:K46" si="38">IFERROR(_xlfn.STDEV.P(H60:H64)/H35, 0)</f>
        <v>1.4238955486124132</v>
      </c>
      <c r="I46" s="6">
        <f t="shared" si="38"/>
        <v>2</v>
      </c>
      <c r="J46" s="6">
        <f t="shared" si="38"/>
        <v>0</v>
      </c>
      <c r="K46" s="6">
        <f t="shared" si="38"/>
        <v>1.1602482734393902</v>
      </c>
      <c r="L46" s="6">
        <f t="shared" ref="L46" si="39">IFERROR(_xlfn.STDEV.P(L60:L64)/L35, 0)</f>
        <v>0.71065839377150342</v>
      </c>
      <c r="M46" s="5"/>
      <c r="N46" s="1">
        <v>5</v>
      </c>
      <c r="O46" s="6">
        <f t="shared" ref="O46:T46" si="40">IFERROR(_xlfn.STDEV.P(O60:O64)/O35, 0)</f>
        <v>0</v>
      </c>
      <c r="P46" s="6">
        <f t="shared" si="40"/>
        <v>0</v>
      </c>
      <c r="Q46" s="6">
        <f t="shared" si="40"/>
        <v>0</v>
      </c>
      <c r="R46" s="6">
        <f t="shared" si="40"/>
        <v>0</v>
      </c>
      <c r="S46" s="6">
        <f t="shared" si="40"/>
        <v>1.7417723114773569</v>
      </c>
      <c r="T46" s="6">
        <f t="shared" si="40"/>
        <v>1.7417723114773569</v>
      </c>
      <c r="V46" s="1">
        <v>5</v>
      </c>
      <c r="W46" s="6">
        <f>IFERROR(_xlfn.STDEV.P(W60:W64)/W35, 0)</f>
        <v>2</v>
      </c>
      <c r="X46" s="6">
        <f t="shared" ref="X46:AB46" si="41">IFERROR(_xlfn.STDEV.P(X60:X64)/X35, 0)</f>
        <v>1.225644883585387</v>
      </c>
      <c r="Y46" s="6">
        <f t="shared" si="41"/>
        <v>1.2587175616535833</v>
      </c>
      <c r="Z46" s="6">
        <f t="shared" si="41"/>
        <v>0</v>
      </c>
      <c r="AA46" s="6">
        <f t="shared" si="41"/>
        <v>0.93040684979670507</v>
      </c>
      <c r="AB46" s="6">
        <f t="shared" si="41"/>
        <v>0.65642779765282833</v>
      </c>
      <c r="AD46" s="1">
        <v>5</v>
      </c>
      <c r="AE46" s="6">
        <f>IFERROR(_xlfn.STDEV.P(AE23:AE27)/AE35, 0)</f>
        <v>1.328765484583738</v>
      </c>
    </row>
    <row r="48" spans="3:31" hidden="1" x14ac:dyDescent="0.25">
      <c r="F48" t="s">
        <v>48</v>
      </c>
      <c r="N48" t="s">
        <v>48</v>
      </c>
      <c r="V48" t="s">
        <v>48</v>
      </c>
      <c r="AE48" s="9"/>
    </row>
    <row r="49" spans="6:31" hidden="1" x14ac:dyDescent="0.25">
      <c r="F49" t="s">
        <v>3</v>
      </c>
      <c r="N49" t="s">
        <v>3</v>
      </c>
      <c r="V49" t="s">
        <v>3</v>
      </c>
      <c r="AE49" s="9"/>
    </row>
    <row r="50" spans="6:31" hidden="1" x14ac:dyDescent="0.25">
      <c r="F50">
        <v>2008</v>
      </c>
      <c r="G50" s="9">
        <f t="shared" ref="G50:L64" si="42">SUMIFS(G$7:G$27, $F$7:$F$27, $F50)</f>
        <v>14115356.470502684</v>
      </c>
      <c r="H50" s="9">
        <f t="shared" si="42"/>
        <v>0</v>
      </c>
      <c r="I50" s="9">
        <f t="shared" si="42"/>
        <v>0</v>
      </c>
      <c r="J50" s="9">
        <f t="shared" si="42"/>
        <v>0</v>
      </c>
      <c r="K50" s="9">
        <f t="shared" si="42"/>
        <v>0</v>
      </c>
      <c r="L50" s="9">
        <f t="shared" si="42"/>
        <v>14115356.470502684</v>
      </c>
      <c r="N50">
        <v>2008</v>
      </c>
      <c r="O50" s="9">
        <f t="shared" ref="O50:T64" si="43">SUMIFS(O$7:O$27, $F$7:$F$27, $F50)</f>
        <v>28230712.941005368</v>
      </c>
      <c r="P50" s="9">
        <f t="shared" si="43"/>
        <v>0</v>
      </c>
      <c r="Q50" s="9">
        <f t="shared" si="43"/>
        <v>0</v>
      </c>
      <c r="R50" s="9">
        <f t="shared" si="43"/>
        <v>0</v>
      </c>
      <c r="S50" s="9">
        <f t="shared" si="43"/>
        <v>0</v>
      </c>
      <c r="T50" s="9">
        <f t="shared" si="43"/>
        <v>28230712.941005368</v>
      </c>
      <c r="V50">
        <v>2008</v>
      </c>
      <c r="W50" s="9">
        <f t="shared" ref="W50:AB64" si="44">SUMIFS(W$7:W$27, $F$7:$F$27, $F50)</f>
        <v>9410237.647001788</v>
      </c>
      <c r="X50" s="9">
        <f t="shared" si="44"/>
        <v>0</v>
      </c>
      <c r="Y50" s="9">
        <f t="shared" si="44"/>
        <v>0</v>
      </c>
      <c r="Z50" s="9">
        <f t="shared" si="44"/>
        <v>0</v>
      </c>
      <c r="AA50" s="9">
        <f t="shared" si="44"/>
        <v>0</v>
      </c>
      <c r="AB50" s="9">
        <f t="shared" si="44"/>
        <v>9410237.647001788</v>
      </c>
      <c r="AE50" s="9"/>
    </row>
    <row r="51" spans="6:31" hidden="1" x14ac:dyDescent="0.25">
      <c r="F51">
        <f>F50+1</f>
        <v>2009</v>
      </c>
      <c r="G51" s="9">
        <f t="shared" si="42"/>
        <v>0</v>
      </c>
      <c r="H51" s="9">
        <f t="shared" si="42"/>
        <v>0</v>
      </c>
      <c r="I51" s="9">
        <f t="shared" si="42"/>
        <v>0</v>
      </c>
      <c r="J51" s="9">
        <f t="shared" si="42"/>
        <v>0</v>
      </c>
      <c r="K51" s="9">
        <f t="shared" si="42"/>
        <v>0</v>
      </c>
      <c r="L51" s="9">
        <f t="shared" si="42"/>
        <v>0</v>
      </c>
      <c r="N51">
        <f>N50+1</f>
        <v>2009</v>
      </c>
      <c r="O51" s="9">
        <f t="shared" si="43"/>
        <v>0</v>
      </c>
      <c r="P51" s="9">
        <f t="shared" si="43"/>
        <v>0</v>
      </c>
      <c r="Q51" s="9">
        <f t="shared" si="43"/>
        <v>0</v>
      </c>
      <c r="R51" s="9">
        <f t="shared" si="43"/>
        <v>0</v>
      </c>
      <c r="S51" s="9">
        <f t="shared" si="43"/>
        <v>0</v>
      </c>
      <c r="T51" s="9">
        <f t="shared" si="43"/>
        <v>0</v>
      </c>
      <c r="V51">
        <f>V50+1</f>
        <v>2009</v>
      </c>
      <c r="W51" s="9">
        <f t="shared" si="44"/>
        <v>0</v>
      </c>
      <c r="X51" s="9">
        <f t="shared" si="44"/>
        <v>0</v>
      </c>
      <c r="Y51" s="9">
        <f t="shared" si="44"/>
        <v>1220588.2914010067</v>
      </c>
      <c r="Z51" s="9">
        <f t="shared" si="44"/>
        <v>0</v>
      </c>
      <c r="AA51" s="9">
        <f t="shared" si="44"/>
        <v>0</v>
      </c>
      <c r="AB51" s="9">
        <f t="shared" si="44"/>
        <v>1220588.2914010067</v>
      </c>
      <c r="AE51" s="9"/>
    </row>
    <row r="52" spans="6:31" hidden="1" x14ac:dyDescent="0.25">
      <c r="F52">
        <f t="shared" ref="F52:F64" si="45">F51+1</f>
        <v>2010</v>
      </c>
      <c r="G52" s="9">
        <f t="shared" si="42"/>
        <v>0</v>
      </c>
      <c r="H52" s="9">
        <f t="shared" si="42"/>
        <v>0</v>
      </c>
      <c r="I52" s="9">
        <f t="shared" si="42"/>
        <v>0</v>
      </c>
      <c r="J52" s="9">
        <f t="shared" si="42"/>
        <v>0</v>
      </c>
      <c r="K52" s="9">
        <f t="shared" si="42"/>
        <v>0</v>
      </c>
      <c r="L52" s="9">
        <f t="shared" si="42"/>
        <v>0</v>
      </c>
      <c r="N52">
        <f t="shared" ref="N52:N64" si="46">N51+1</f>
        <v>2010</v>
      </c>
      <c r="O52" s="9">
        <f t="shared" si="43"/>
        <v>0</v>
      </c>
      <c r="P52" s="9">
        <f t="shared" si="43"/>
        <v>0</v>
      </c>
      <c r="Q52" s="9">
        <f t="shared" si="43"/>
        <v>0</v>
      </c>
      <c r="R52" s="9">
        <f t="shared" si="43"/>
        <v>0</v>
      </c>
      <c r="S52" s="9">
        <f t="shared" si="43"/>
        <v>0</v>
      </c>
      <c r="T52" s="9">
        <f t="shared" si="43"/>
        <v>0</v>
      </c>
      <c r="V52">
        <f t="shared" ref="V52:V64" si="47">V51+1</f>
        <v>2010</v>
      </c>
      <c r="W52" s="9">
        <f t="shared" si="44"/>
        <v>0</v>
      </c>
      <c r="X52" s="9">
        <f t="shared" si="44"/>
        <v>0</v>
      </c>
      <c r="Y52" s="9">
        <f t="shared" si="44"/>
        <v>0</v>
      </c>
      <c r="Z52" s="9">
        <f t="shared" si="44"/>
        <v>0</v>
      </c>
      <c r="AA52" s="9">
        <f t="shared" si="44"/>
        <v>0</v>
      </c>
      <c r="AB52" s="9">
        <f t="shared" si="44"/>
        <v>0</v>
      </c>
      <c r="AE52" s="9"/>
    </row>
    <row r="53" spans="6:31" hidden="1" x14ac:dyDescent="0.25">
      <c r="F53">
        <f t="shared" si="45"/>
        <v>2011</v>
      </c>
      <c r="G53" s="9">
        <f t="shared" si="42"/>
        <v>0</v>
      </c>
      <c r="H53" s="9">
        <f t="shared" si="42"/>
        <v>0</v>
      </c>
      <c r="I53" s="9">
        <f t="shared" si="42"/>
        <v>0</v>
      </c>
      <c r="J53" s="9">
        <f t="shared" si="42"/>
        <v>0</v>
      </c>
      <c r="K53" s="9">
        <f t="shared" si="42"/>
        <v>0</v>
      </c>
      <c r="L53" s="9">
        <f t="shared" si="42"/>
        <v>0</v>
      </c>
      <c r="N53">
        <f t="shared" si="46"/>
        <v>2011</v>
      </c>
      <c r="O53" s="9">
        <f t="shared" si="43"/>
        <v>0</v>
      </c>
      <c r="P53" s="9">
        <f t="shared" si="43"/>
        <v>0</v>
      </c>
      <c r="Q53" s="9">
        <f t="shared" si="43"/>
        <v>0</v>
      </c>
      <c r="R53" s="9">
        <f t="shared" si="43"/>
        <v>0</v>
      </c>
      <c r="S53" s="9">
        <f t="shared" si="43"/>
        <v>0</v>
      </c>
      <c r="T53" s="9">
        <f t="shared" si="43"/>
        <v>0</v>
      </c>
      <c r="V53">
        <f t="shared" si="47"/>
        <v>2011</v>
      </c>
      <c r="W53" s="9">
        <f t="shared" si="44"/>
        <v>0</v>
      </c>
      <c r="X53" s="9">
        <f t="shared" si="44"/>
        <v>0</v>
      </c>
      <c r="Y53" s="9">
        <f t="shared" si="44"/>
        <v>0</v>
      </c>
      <c r="Z53" s="9">
        <f t="shared" si="44"/>
        <v>0</v>
      </c>
      <c r="AA53" s="9">
        <f t="shared" si="44"/>
        <v>0</v>
      </c>
      <c r="AB53" s="9">
        <f t="shared" si="44"/>
        <v>0</v>
      </c>
      <c r="AE53" s="9"/>
    </row>
    <row r="54" spans="6:31" hidden="1" x14ac:dyDescent="0.25">
      <c r="F54">
        <f t="shared" si="45"/>
        <v>2012</v>
      </c>
      <c r="G54" s="9">
        <f t="shared" si="42"/>
        <v>0</v>
      </c>
      <c r="H54" s="9">
        <f t="shared" si="42"/>
        <v>0</v>
      </c>
      <c r="I54" s="9">
        <f t="shared" si="42"/>
        <v>0</v>
      </c>
      <c r="J54" s="9">
        <f t="shared" si="42"/>
        <v>0</v>
      </c>
      <c r="K54" s="9">
        <f t="shared" si="42"/>
        <v>0</v>
      </c>
      <c r="L54" s="9">
        <f t="shared" si="42"/>
        <v>0</v>
      </c>
      <c r="N54">
        <f t="shared" si="46"/>
        <v>2012</v>
      </c>
      <c r="O54" s="9">
        <f t="shared" si="43"/>
        <v>0</v>
      </c>
      <c r="P54" s="9">
        <f t="shared" si="43"/>
        <v>0</v>
      </c>
      <c r="Q54" s="9">
        <f t="shared" si="43"/>
        <v>0</v>
      </c>
      <c r="R54" s="9">
        <f t="shared" si="43"/>
        <v>0</v>
      </c>
      <c r="S54" s="9">
        <f t="shared" si="43"/>
        <v>0</v>
      </c>
      <c r="T54" s="9">
        <f t="shared" si="43"/>
        <v>0</v>
      </c>
      <c r="V54">
        <f t="shared" si="47"/>
        <v>2012</v>
      </c>
      <c r="W54" s="9">
        <f t="shared" si="44"/>
        <v>0</v>
      </c>
      <c r="X54" s="9">
        <f t="shared" si="44"/>
        <v>0</v>
      </c>
      <c r="Y54" s="9">
        <f t="shared" si="44"/>
        <v>0</v>
      </c>
      <c r="Z54" s="9">
        <f t="shared" si="44"/>
        <v>0</v>
      </c>
      <c r="AA54" s="9">
        <f t="shared" si="44"/>
        <v>0</v>
      </c>
      <c r="AB54" s="9">
        <f t="shared" si="44"/>
        <v>0</v>
      </c>
      <c r="AE54" s="9"/>
    </row>
    <row r="55" spans="6:31" hidden="1" x14ac:dyDescent="0.25">
      <c r="F55">
        <f t="shared" si="45"/>
        <v>2013</v>
      </c>
      <c r="G55" s="9">
        <f t="shared" si="42"/>
        <v>0</v>
      </c>
      <c r="H55" s="9">
        <f t="shared" si="42"/>
        <v>0</v>
      </c>
      <c r="I55" s="9">
        <f t="shared" si="42"/>
        <v>0</v>
      </c>
      <c r="J55" s="9">
        <f t="shared" si="42"/>
        <v>0</v>
      </c>
      <c r="K55" s="9">
        <f t="shared" si="42"/>
        <v>0</v>
      </c>
      <c r="L55" s="9">
        <f t="shared" si="42"/>
        <v>0</v>
      </c>
      <c r="N55">
        <f t="shared" si="46"/>
        <v>2013</v>
      </c>
      <c r="O55" s="9">
        <f t="shared" si="43"/>
        <v>0</v>
      </c>
      <c r="P55" s="9">
        <f t="shared" si="43"/>
        <v>0</v>
      </c>
      <c r="Q55" s="9">
        <f t="shared" si="43"/>
        <v>0</v>
      </c>
      <c r="R55" s="9">
        <f t="shared" si="43"/>
        <v>0</v>
      </c>
      <c r="S55" s="9">
        <f t="shared" si="43"/>
        <v>0</v>
      </c>
      <c r="T55" s="9">
        <f t="shared" si="43"/>
        <v>0</v>
      </c>
      <c r="V55">
        <f t="shared" si="47"/>
        <v>2013</v>
      </c>
      <c r="W55" s="9">
        <f t="shared" si="44"/>
        <v>0</v>
      </c>
      <c r="X55" s="9">
        <f t="shared" si="44"/>
        <v>0</v>
      </c>
      <c r="Y55" s="9">
        <f t="shared" si="44"/>
        <v>0</v>
      </c>
      <c r="Z55" s="9">
        <f t="shared" si="44"/>
        <v>0</v>
      </c>
      <c r="AA55" s="9">
        <f t="shared" si="44"/>
        <v>0</v>
      </c>
      <c r="AB55" s="9">
        <f t="shared" si="44"/>
        <v>0</v>
      </c>
      <c r="AE55" s="9"/>
    </row>
    <row r="56" spans="6:31" hidden="1" x14ac:dyDescent="0.25">
      <c r="F56">
        <f t="shared" si="45"/>
        <v>2014</v>
      </c>
      <c r="G56" s="9">
        <f t="shared" si="42"/>
        <v>0</v>
      </c>
      <c r="H56" s="9">
        <f t="shared" si="42"/>
        <v>0</v>
      </c>
      <c r="I56" s="9">
        <f t="shared" si="42"/>
        <v>0</v>
      </c>
      <c r="J56" s="9">
        <f t="shared" si="42"/>
        <v>0</v>
      </c>
      <c r="K56" s="9">
        <f t="shared" si="42"/>
        <v>0</v>
      </c>
      <c r="L56" s="9">
        <f t="shared" si="42"/>
        <v>0</v>
      </c>
      <c r="N56">
        <f t="shared" si="46"/>
        <v>2014</v>
      </c>
      <c r="O56" s="9">
        <f t="shared" si="43"/>
        <v>0</v>
      </c>
      <c r="P56" s="9">
        <f t="shared" si="43"/>
        <v>0</v>
      </c>
      <c r="Q56" s="9">
        <f t="shared" si="43"/>
        <v>0</v>
      </c>
      <c r="R56" s="9">
        <f t="shared" si="43"/>
        <v>0</v>
      </c>
      <c r="S56" s="9">
        <f t="shared" si="43"/>
        <v>0</v>
      </c>
      <c r="T56" s="9">
        <f t="shared" si="43"/>
        <v>0</v>
      </c>
      <c r="V56">
        <f t="shared" si="47"/>
        <v>2014</v>
      </c>
      <c r="W56" s="9">
        <f t="shared" si="44"/>
        <v>0</v>
      </c>
      <c r="X56" s="9">
        <f t="shared" si="44"/>
        <v>0</v>
      </c>
      <c r="Y56" s="9">
        <f t="shared" si="44"/>
        <v>0</v>
      </c>
      <c r="Z56" s="9">
        <f t="shared" si="44"/>
        <v>0</v>
      </c>
      <c r="AA56" s="9">
        <f t="shared" si="44"/>
        <v>0</v>
      </c>
      <c r="AB56" s="9">
        <f t="shared" si="44"/>
        <v>0</v>
      </c>
      <c r="AE56" s="9"/>
    </row>
    <row r="57" spans="6:31" hidden="1" x14ac:dyDescent="0.25">
      <c r="F57">
        <f t="shared" si="45"/>
        <v>2015</v>
      </c>
      <c r="G57" s="9">
        <f t="shared" si="42"/>
        <v>14908850.034117503</v>
      </c>
      <c r="H57" s="9">
        <f t="shared" si="42"/>
        <v>0</v>
      </c>
      <c r="I57" s="9">
        <f t="shared" si="42"/>
        <v>0</v>
      </c>
      <c r="J57" s="9">
        <f t="shared" si="42"/>
        <v>0</v>
      </c>
      <c r="K57" s="9">
        <f t="shared" si="42"/>
        <v>0</v>
      </c>
      <c r="L57" s="9">
        <f t="shared" si="42"/>
        <v>14908850.034117503</v>
      </c>
      <c r="N57">
        <f t="shared" si="46"/>
        <v>2015</v>
      </c>
      <c r="O57" s="9">
        <f t="shared" si="43"/>
        <v>11618110.888770176</v>
      </c>
      <c r="P57" s="9">
        <f t="shared" si="43"/>
        <v>0</v>
      </c>
      <c r="Q57" s="9">
        <f t="shared" si="43"/>
        <v>0</v>
      </c>
      <c r="R57" s="9">
        <f t="shared" si="43"/>
        <v>0</v>
      </c>
      <c r="S57" s="9">
        <f t="shared" si="43"/>
        <v>0</v>
      </c>
      <c r="T57" s="9">
        <f t="shared" si="43"/>
        <v>11618110.888770176</v>
      </c>
      <c r="V57">
        <f t="shared" si="47"/>
        <v>2015</v>
      </c>
      <c r="W57" s="9">
        <f t="shared" si="44"/>
        <v>9939233.356078336</v>
      </c>
      <c r="X57" s="9">
        <f t="shared" si="44"/>
        <v>0</v>
      </c>
      <c r="Y57" s="9">
        <f t="shared" si="44"/>
        <v>0</v>
      </c>
      <c r="Z57" s="9">
        <f t="shared" si="44"/>
        <v>0</v>
      </c>
      <c r="AA57" s="9">
        <f t="shared" si="44"/>
        <v>0</v>
      </c>
      <c r="AB57" s="9">
        <f t="shared" si="44"/>
        <v>9939233.356078336</v>
      </c>
      <c r="AE57" s="9"/>
    </row>
    <row r="58" spans="6:31" hidden="1" x14ac:dyDescent="0.25">
      <c r="F58">
        <f t="shared" si="45"/>
        <v>2016</v>
      </c>
      <c r="G58" s="9">
        <f t="shared" si="42"/>
        <v>0</v>
      </c>
      <c r="H58" s="9">
        <f t="shared" si="42"/>
        <v>0</v>
      </c>
      <c r="I58" s="9">
        <f t="shared" si="42"/>
        <v>0</v>
      </c>
      <c r="J58" s="9">
        <f t="shared" si="42"/>
        <v>0</v>
      </c>
      <c r="K58" s="9">
        <f t="shared" si="42"/>
        <v>0</v>
      </c>
      <c r="L58" s="9">
        <f t="shared" si="42"/>
        <v>0</v>
      </c>
      <c r="N58">
        <f t="shared" si="46"/>
        <v>2016</v>
      </c>
      <c r="O58" s="9">
        <f t="shared" si="43"/>
        <v>0</v>
      </c>
      <c r="P58" s="9">
        <f t="shared" si="43"/>
        <v>0</v>
      </c>
      <c r="Q58" s="9">
        <f t="shared" si="43"/>
        <v>0</v>
      </c>
      <c r="R58" s="9">
        <f t="shared" si="43"/>
        <v>0</v>
      </c>
      <c r="S58" s="9">
        <f t="shared" si="43"/>
        <v>0</v>
      </c>
      <c r="T58" s="9">
        <f t="shared" si="43"/>
        <v>0</v>
      </c>
      <c r="V58">
        <f t="shared" si="47"/>
        <v>2016</v>
      </c>
      <c r="W58" s="9">
        <f t="shared" si="44"/>
        <v>0</v>
      </c>
      <c r="X58" s="9">
        <f t="shared" si="44"/>
        <v>0</v>
      </c>
      <c r="Y58" s="9">
        <f t="shared" si="44"/>
        <v>1822946.1699345761</v>
      </c>
      <c r="Z58" s="9">
        <f t="shared" si="44"/>
        <v>0</v>
      </c>
      <c r="AA58" s="9">
        <f t="shared" si="44"/>
        <v>0</v>
      </c>
      <c r="AB58" s="9">
        <f t="shared" si="44"/>
        <v>1822946.1699345761</v>
      </c>
      <c r="AE58" s="9"/>
    </row>
    <row r="59" spans="6:31" hidden="1" x14ac:dyDescent="0.25">
      <c r="F59">
        <f t="shared" si="45"/>
        <v>2017</v>
      </c>
      <c r="G59" s="9">
        <f t="shared" si="42"/>
        <v>1521520.0878896916</v>
      </c>
      <c r="H59" s="9">
        <f t="shared" si="42"/>
        <v>3335519.2041315935</v>
      </c>
      <c r="I59" s="9">
        <f t="shared" si="42"/>
        <v>19369032.221956499</v>
      </c>
      <c r="J59" s="9">
        <f t="shared" si="42"/>
        <v>0</v>
      </c>
      <c r="K59" s="9">
        <f t="shared" si="42"/>
        <v>22070532.317498684</v>
      </c>
      <c r="L59" s="9">
        <f t="shared" si="42"/>
        <v>46296603.831476465</v>
      </c>
      <c r="N59">
        <f t="shared" si="46"/>
        <v>2017</v>
      </c>
      <c r="O59" s="9">
        <f t="shared" si="43"/>
        <v>0</v>
      </c>
      <c r="P59" s="9">
        <f t="shared" si="43"/>
        <v>0</v>
      </c>
      <c r="Q59" s="9">
        <f t="shared" si="43"/>
        <v>0</v>
      </c>
      <c r="R59" s="9">
        <f t="shared" si="43"/>
        <v>0</v>
      </c>
      <c r="S59" s="9">
        <f t="shared" si="43"/>
        <v>0</v>
      </c>
      <c r="T59" s="9">
        <f t="shared" si="43"/>
        <v>0</v>
      </c>
      <c r="V59">
        <f t="shared" si="47"/>
        <v>2017</v>
      </c>
      <c r="W59" s="9">
        <f t="shared" si="44"/>
        <v>20051483.288111653</v>
      </c>
      <c r="X59" s="9">
        <f t="shared" si="44"/>
        <v>11078980.716352882</v>
      </c>
      <c r="Y59" s="9">
        <f t="shared" si="44"/>
        <v>22157961.432705764</v>
      </c>
      <c r="Z59" s="9">
        <f t="shared" si="44"/>
        <v>0</v>
      </c>
      <c r="AA59" s="9">
        <f t="shared" si="44"/>
        <v>33236942.149058647</v>
      </c>
      <c r="AB59" s="9">
        <f t="shared" si="44"/>
        <v>86525367.586228937</v>
      </c>
      <c r="AE59" s="9"/>
    </row>
    <row r="60" spans="6:31" hidden="1" x14ac:dyDescent="0.25">
      <c r="F60">
        <f t="shared" si="45"/>
        <v>2018</v>
      </c>
      <c r="G60" s="9">
        <f t="shared" si="42"/>
        <v>0</v>
      </c>
      <c r="H60" s="9">
        <f t="shared" si="42"/>
        <v>0</v>
      </c>
      <c r="I60" s="9">
        <f t="shared" si="42"/>
        <v>4587946.2717325259</v>
      </c>
      <c r="J60" s="9">
        <f t="shared" si="42"/>
        <v>0</v>
      </c>
      <c r="K60" s="9">
        <f t="shared" si="42"/>
        <v>0</v>
      </c>
      <c r="L60" s="9">
        <f t="shared" si="42"/>
        <v>4587946.2717325259</v>
      </c>
      <c r="N60">
        <f t="shared" si="46"/>
        <v>2018</v>
      </c>
      <c r="O60" s="9">
        <f t="shared" si="43"/>
        <v>0</v>
      </c>
      <c r="P60" s="9">
        <f t="shared" si="43"/>
        <v>0</v>
      </c>
      <c r="Q60" s="9">
        <f t="shared" si="43"/>
        <v>0</v>
      </c>
      <c r="R60" s="9">
        <f t="shared" si="43"/>
        <v>0</v>
      </c>
      <c r="S60" s="9">
        <f t="shared" si="43"/>
        <v>0</v>
      </c>
      <c r="T60" s="9">
        <f t="shared" si="43"/>
        <v>0</v>
      </c>
      <c r="V60">
        <f t="shared" si="47"/>
        <v>2018</v>
      </c>
      <c r="W60" s="9">
        <f t="shared" si="44"/>
        <v>0</v>
      </c>
      <c r="X60" s="9">
        <f t="shared" si="44"/>
        <v>0</v>
      </c>
      <c r="Y60" s="9">
        <f t="shared" si="44"/>
        <v>11256732.841307422</v>
      </c>
      <c r="Z60" s="9">
        <f t="shared" si="44"/>
        <v>0</v>
      </c>
      <c r="AA60" s="9">
        <f t="shared" si="44"/>
        <v>0</v>
      </c>
      <c r="AB60" s="9">
        <f t="shared" si="44"/>
        <v>11256732.841307422</v>
      </c>
      <c r="AE60" s="9"/>
    </row>
    <row r="61" spans="6:31" hidden="1" x14ac:dyDescent="0.25">
      <c r="F61">
        <f t="shared" si="45"/>
        <v>2019</v>
      </c>
      <c r="G61" s="9">
        <f t="shared" si="42"/>
        <v>0</v>
      </c>
      <c r="H61" s="9">
        <f t="shared" si="42"/>
        <v>0</v>
      </c>
      <c r="I61" s="9">
        <f t="shared" si="42"/>
        <v>0</v>
      </c>
      <c r="J61" s="9">
        <f t="shared" si="42"/>
        <v>0</v>
      </c>
      <c r="K61" s="9">
        <f t="shared" si="42"/>
        <v>0</v>
      </c>
      <c r="L61" s="9">
        <f t="shared" si="42"/>
        <v>0</v>
      </c>
      <c r="N61">
        <f t="shared" si="46"/>
        <v>2019</v>
      </c>
      <c r="O61" s="9">
        <f t="shared" si="43"/>
        <v>0</v>
      </c>
      <c r="P61" s="9">
        <f t="shared" si="43"/>
        <v>0</v>
      </c>
      <c r="Q61" s="9">
        <f t="shared" si="43"/>
        <v>0</v>
      </c>
      <c r="R61" s="9">
        <f t="shared" si="43"/>
        <v>0</v>
      </c>
      <c r="S61" s="9">
        <f t="shared" si="43"/>
        <v>0</v>
      </c>
      <c r="T61" s="9">
        <f t="shared" si="43"/>
        <v>0</v>
      </c>
      <c r="V61">
        <f t="shared" si="47"/>
        <v>2019</v>
      </c>
      <c r="W61" s="9">
        <f t="shared" si="44"/>
        <v>0</v>
      </c>
      <c r="X61" s="9">
        <f t="shared" si="44"/>
        <v>0</v>
      </c>
      <c r="Y61" s="9">
        <f t="shared" si="44"/>
        <v>0</v>
      </c>
      <c r="Z61" s="9">
        <f t="shared" si="44"/>
        <v>0</v>
      </c>
      <c r="AA61" s="9">
        <f t="shared" si="44"/>
        <v>0</v>
      </c>
      <c r="AB61" s="9">
        <f t="shared" si="44"/>
        <v>0</v>
      </c>
      <c r="AE61" s="9"/>
    </row>
    <row r="62" spans="6:31" hidden="1" x14ac:dyDescent="0.25">
      <c r="F62">
        <f t="shared" si="45"/>
        <v>2020</v>
      </c>
      <c r="G62" s="9">
        <f t="shared" si="42"/>
        <v>0</v>
      </c>
      <c r="H62" s="9">
        <f t="shared" si="42"/>
        <v>4794028.1458935142</v>
      </c>
      <c r="I62" s="9">
        <f t="shared" si="42"/>
        <v>0</v>
      </c>
      <c r="J62" s="9">
        <f t="shared" si="42"/>
        <v>0</v>
      </c>
      <c r="K62" s="9">
        <f t="shared" si="42"/>
        <v>17641189.056190003</v>
      </c>
      <c r="L62" s="9">
        <f t="shared" si="42"/>
        <v>22435217.202083517</v>
      </c>
      <c r="N62">
        <f t="shared" si="46"/>
        <v>2020</v>
      </c>
      <c r="O62" s="9">
        <f t="shared" si="43"/>
        <v>0</v>
      </c>
      <c r="P62" s="9">
        <f t="shared" si="43"/>
        <v>0</v>
      </c>
      <c r="Q62" s="9">
        <f t="shared" si="43"/>
        <v>0</v>
      </c>
      <c r="R62" s="9">
        <f t="shared" si="43"/>
        <v>0</v>
      </c>
      <c r="S62" s="9">
        <f t="shared" si="43"/>
        <v>3173078.4531724853</v>
      </c>
      <c r="T62" s="9">
        <f t="shared" si="43"/>
        <v>3173078.4531724853</v>
      </c>
      <c r="V62">
        <f t="shared" si="47"/>
        <v>2020</v>
      </c>
      <c r="W62" s="9">
        <f t="shared" si="44"/>
        <v>0</v>
      </c>
      <c r="X62" s="9">
        <f t="shared" si="44"/>
        <v>10703099.886402506</v>
      </c>
      <c r="Y62" s="9">
        <f t="shared" si="44"/>
        <v>0</v>
      </c>
      <c r="Z62" s="9">
        <f t="shared" si="44"/>
        <v>0</v>
      </c>
      <c r="AA62" s="9">
        <f t="shared" si="44"/>
        <v>25677116.587525576</v>
      </c>
      <c r="AB62" s="9">
        <f t="shared" si="44"/>
        <v>36380216.473928079</v>
      </c>
      <c r="AE62" s="9"/>
    </row>
    <row r="63" spans="6:31" hidden="1" x14ac:dyDescent="0.25">
      <c r="F63">
        <f t="shared" si="45"/>
        <v>2021</v>
      </c>
      <c r="G63" s="9">
        <f t="shared" si="42"/>
        <v>0</v>
      </c>
      <c r="H63" s="9">
        <f t="shared" si="42"/>
        <v>0</v>
      </c>
      <c r="I63" s="9">
        <f t="shared" si="42"/>
        <v>0</v>
      </c>
      <c r="J63" s="9">
        <f t="shared" si="42"/>
        <v>0</v>
      </c>
      <c r="K63" s="9">
        <f t="shared" si="42"/>
        <v>21033158.303225517</v>
      </c>
      <c r="L63" s="9">
        <f t="shared" si="42"/>
        <v>21033158.303225517</v>
      </c>
      <c r="N63">
        <f t="shared" si="46"/>
        <v>2021</v>
      </c>
      <c r="O63" s="9">
        <f t="shared" si="43"/>
        <v>0</v>
      </c>
      <c r="P63" s="9">
        <f t="shared" si="43"/>
        <v>0</v>
      </c>
      <c r="Q63" s="9">
        <f t="shared" si="43"/>
        <v>0</v>
      </c>
      <c r="R63" s="9">
        <f t="shared" si="43"/>
        <v>0</v>
      </c>
      <c r="S63" s="9">
        <f t="shared" si="43"/>
        <v>26108008.665440436</v>
      </c>
      <c r="T63" s="9">
        <f t="shared" si="43"/>
        <v>26108008.665440436</v>
      </c>
      <c r="V63">
        <f t="shared" si="47"/>
        <v>2021</v>
      </c>
      <c r="W63" s="9">
        <f t="shared" si="44"/>
        <v>0</v>
      </c>
      <c r="X63" s="9">
        <f t="shared" si="44"/>
        <v>0</v>
      </c>
      <c r="Y63" s="9">
        <f t="shared" si="44"/>
        <v>845808.39370248606</v>
      </c>
      <c r="Z63" s="9">
        <f t="shared" si="44"/>
        <v>0</v>
      </c>
      <c r="AA63" s="9">
        <f t="shared" si="44"/>
        <v>20654661.628876362</v>
      </c>
      <c r="AB63" s="9">
        <f t="shared" si="44"/>
        <v>21500470.02257885</v>
      </c>
    </row>
    <row r="64" spans="6:31" hidden="1" x14ac:dyDescent="0.25">
      <c r="F64">
        <f t="shared" si="45"/>
        <v>2022</v>
      </c>
      <c r="G64" s="9">
        <f t="shared" si="42"/>
        <v>0</v>
      </c>
      <c r="H64" s="9">
        <f t="shared" si="42"/>
        <v>12939891.721344365</v>
      </c>
      <c r="I64" s="9">
        <f t="shared" si="42"/>
        <v>0</v>
      </c>
      <c r="J64" s="9">
        <f t="shared" si="42"/>
        <v>0</v>
      </c>
      <c r="K64" s="9">
        <f t="shared" si="42"/>
        <v>1457376.7371272477</v>
      </c>
      <c r="L64" s="9">
        <f t="shared" si="42"/>
        <v>14397268.458471613</v>
      </c>
      <c r="N64">
        <f t="shared" si="46"/>
        <v>2022</v>
      </c>
      <c r="O64" s="9">
        <f t="shared" si="43"/>
        <v>0</v>
      </c>
      <c r="P64" s="9">
        <f t="shared" si="43"/>
        <v>0</v>
      </c>
      <c r="Q64" s="9">
        <f t="shared" si="43"/>
        <v>0</v>
      </c>
      <c r="R64" s="9">
        <f t="shared" si="43"/>
        <v>0</v>
      </c>
      <c r="S64" s="9">
        <f t="shared" si="43"/>
        <v>0</v>
      </c>
      <c r="T64" s="9">
        <f t="shared" si="43"/>
        <v>0</v>
      </c>
      <c r="V64">
        <f t="shared" si="47"/>
        <v>2022</v>
      </c>
      <c r="W64" s="9">
        <f t="shared" si="44"/>
        <v>60513.91296030103</v>
      </c>
      <c r="X64" s="9">
        <f t="shared" si="44"/>
        <v>10085652.16005017</v>
      </c>
      <c r="Y64" s="9">
        <f t="shared" si="44"/>
        <v>5163853.9059456876</v>
      </c>
      <c r="Z64" s="9">
        <f t="shared" si="44"/>
        <v>0</v>
      </c>
      <c r="AA64" s="9">
        <f t="shared" si="44"/>
        <v>10085652.16005017</v>
      </c>
      <c r="AB64" s="9">
        <f t="shared" si="44"/>
        <v>25395672.139006332</v>
      </c>
    </row>
  </sheetData>
  <pageMargins left="0.25" right="0.25" top="0.75" bottom="0.75" header="0.3" footer="0.3"/>
  <pageSetup scale="74" fitToWidth="4" orientation="landscape" r:id="rId1"/>
  <headerFooter>
    <oddHeader>&amp;CBattleBots Extreme Pricing Challenge 2023 - Interactive Analysis</oddHeader>
    <oddFooter>&amp;R&amp;F
&amp;A</oddFooter>
  </headerFooter>
  <colBreaks count="2" manualBreakCount="2">
    <brk id="13" max="1048575" man="1"/>
    <brk id="2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EFD3F-577A-450C-ACEC-AC032ABC406B}">
  <sheetPr>
    <pageSetUpPr fitToPage="1"/>
  </sheetPr>
  <dimension ref="B1:E23"/>
  <sheetViews>
    <sheetView showGridLines="0" workbookViewId="0"/>
  </sheetViews>
  <sheetFormatPr defaultRowHeight="15" x14ac:dyDescent="0.25"/>
  <cols>
    <col min="1" max="1" width="2.28515625" customWidth="1"/>
    <col min="2" max="2" width="32.140625" bestFit="1" customWidth="1"/>
    <col min="3" max="3" width="16.140625" customWidth="1"/>
    <col min="4" max="4" width="14" customWidth="1"/>
    <col min="5" max="5" width="15.7109375" customWidth="1"/>
  </cols>
  <sheetData>
    <row r="1" spans="2:5" x14ac:dyDescent="0.25">
      <c r="B1" s="20" t="s">
        <v>19</v>
      </c>
      <c r="C1" s="25"/>
      <c r="D1" s="25"/>
      <c r="E1" s="25"/>
    </row>
    <row r="3" spans="2:5" x14ac:dyDescent="0.25">
      <c r="B3" s="15"/>
      <c r="C3" s="17" t="s">
        <v>29</v>
      </c>
      <c r="D3" s="17" t="s">
        <v>30</v>
      </c>
      <c r="E3" s="17" t="s">
        <v>8</v>
      </c>
    </row>
    <row r="4" spans="2:5" x14ac:dyDescent="0.25">
      <c r="B4" t="s">
        <v>25</v>
      </c>
      <c r="C4" s="22">
        <v>15000000</v>
      </c>
      <c r="D4" s="22">
        <v>30000000</v>
      </c>
      <c r="E4" s="22">
        <v>5000000</v>
      </c>
    </row>
    <row r="5" spans="2:5" x14ac:dyDescent="0.25">
      <c r="B5" t="s">
        <v>26</v>
      </c>
      <c r="C5" s="23">
        <f>C4</f>
        <v>15000000</v>
      </c>
      <c r="D5" s="23">
        <f>D4</f>
        <v>30000000</v>
      </c>
      <c r="E5" s="22">
        <v>10000000</v>
      </c>
    </row>
    <row r="6" spans="2:5" x14ac:dyDescent="0.25">
      <c r="B6" t="s">
        <v>31</v>
      </c>
      <c r="C6" s="23" t="s">
        <v>32</v>
      </c>
      <c r="D6" s="23" t="s">
        <v>32</v>
      </c>
      <c r="E6" s="22" t="s">
        <v>20</v>
      </c>
    </row>
    <row r="7" spans="2:5" x14ac:dyDescent="0.25">
      <c r="C7" s="1"/>
      <c r="D7" s="1"/>
      <c r="E7" s="1"/>
    </row>
    <row r="8" spans="2:5" x14ac:dyDescent="0.25">
      <c r="B8" t="s">
        <v>27</v>
      </c>
      <c r="C8" s="23">
        <v>0</v>
      </c>
      <c r="D8" s="23">
        <v>0</v>
      </c>
      <c r="E8" s="22">
        <v>20000000</v>
      </c>
    </row>
    <row r="9" spans="2:5" x14ac:dyDescent="0.25">
      <c r="B9" t="s">
        <v>28</v>
      </c>
      <c r="C9" s="23">
        <f>C5*2</f>
        <v>30000000</v>
      </c>
      <c r="D9" s="23">
        <f>D5*2</f>
        <v>60000000</v>
      </c>
      <c r="E9" s="22">
        <v>50000000</v>
      </c>
    </row>
    <row r="10" spans="2:5" x14ac:dyDescent="0.25">
      <c r="C10" s="13"/>
    </row>
    <row r="11" spans="2:5" x14ac:dyDescent="0.25">
      <c r="B11" t="s">
        <v>63</v>
      </c>
      <c r="C11" s="4">
        <f>'Layer Loss Picks'!L39</f>
        <v>0</v>
      </c>
      <c r="D11" s="4">
        <f>'Layer Loss Picks'!T39</f>
        <v>0</v>
      </c>
      <c r="E11" s="4">
        <f>'Layer Loss Picks'!AE39</f>
        <v>0</v>
      </c>
    </row>
    <row r="12" spans="2:5" x14ac:dyDescent="0.25">
      <c r="B12" t="s">
        <v>56</v>
      </c>
      <c r="C12" s="6">
        <f>C11/C5</f>
        <v>0</v>
      </c>
      <c r="D12" s="6">
        <f>D11/D5</f>
        <v>0</v>
      </c>
      <c r="E12" s="6">
        <f>E11/E9</f>
        <v>0</v>
      </c>
    </row>
    <row r="13" spans="2:5" x14ac:dyDescent="0.25">
      <c r="B13" t="s">
        <v>55</v>
      </c>
      <c r="C13" s="38">
        <v>1</v>
      </c>
      <c r="D13" s="38">
        <v>1</v>
      </c>
      <c r="E13" s="38">
        <v>1</v>
      </c>
    </row>
    <row r="14" spans="2:5" x14ac:dyDescent="0.25">
      <c r="B14" t="s">
        <v>59</v>
      </c>
      <c r="C14" s="39">
        <v>0</v>
      </c>
      <c r="D14" s="39">
        <v>0</v>
      </c>
      <c r="E14" s="39">
        <v>0</v>
      </c>
    </row>
    <row r="15" spans="2:5" x14ac:dyDescent="0.25">
      <c r="B15" t="s">
        <v>58</v>
      </c>
      <c r="C15" s="39">
        <v>0</v>
      </c>
      <c r="D15" s="39">
        <v>0</v>
      </c>
      <c r="E15" s="39">
        <v>0</v>
      </c>
    </row>
    <row r="16" spans="2:5" x14ac:dyDescent="0.25">
      <c r="B16" t="s">
        <v>54</v>
      </c>
      <c r="C16" s="39">
        <v>0</v>
      </c>
      <c r="D16" s="39">
        <v>0</v>
      </c>
      <c r="E16" s="39">
        <v>0</v>
      </c>
    </row>
    <row r="18" spans="2:5" x14ac:dyDescent="0.25">
      <c r="B18" s="11" t="s">
        <v>33</v>
      </c>
      <c r="C18" s="37">
        <f>C11/(1-C16)*C13*(1+C14+C15)</f>
        <v>0</v>
      </c>
      <c r="D18" s="37">
        <f>D11/(1-D16)*D13*(1+D14+D15)</f>
        <v>0</v>
      </c>
      <c r="E18" s="37">
        <f>E11/(1-E16)*E13*(1+E14+E15)</f>
        <v>0</v>
      </c>
    </row>
    <row r="19" spans="2:5" x14ac:dyDescent="0.25">
      <c r="B19" t="s">
        <v>18</v>
      </c>
      <c r="C19" s="6">
        <f>C18/C4</f>
        <v>0</v>
      </c>
      <c r="D19" s="6">
        <f>D18/D4</f>
        <v>0</v>
      </c>
      <c r="E19" s="6">
        <f>E18/E9</f>
        <v>0</v>
      </c>
    </row>
    <row r="20" spans="2:5" x14ac:dyDescent="0.25">
      <c r="B20" t="s">
        <v>57</v>
      </c>
      <c r="C20" s="28">
        <f>C18/'Layer Loss Picks'!$D$28</f>
        <v>0</v>
      </c>
      <c r="D20" s="28">
        <f>D18/'Layer Loss Picks'!$D$28</f>
        <v>0</v>
      </c>
      <c r="E20" s="28">
        <f>E18/'Layer Loss Picks'!$D$28</f>
        <v>0</v>
      </c>
    </row>
    <row r="21" spans="2:5" x14ac:dyDescent="0.25">
      <c r="B21" t="s">
        <v>34</v>
      </c>
      <c r="C21" s="6" t="e">
        <f>C11/C18</f>
        <v>#DIV/0!</v>
      </c>
      <c r="D21" s="6" t="e">
        <f>D11/D18</f>
        <v>#DIV/0!</v>
      </c>
      <c r="E21" s="6" t="e">
        <f>E11/E18</f>
        <v>#DIV/0!</v>
      </c>
    </row>
    <row r="23" spans="2:5" x14ac:dyDescent="0.25">
      <c r="B23" t="s">
        <v>9</v>
      </c>
      <c r="C23" s="39"/>
      <c r="D23" s="39"/>
      <c r="E23" s="39"/>
    </row>
  </sheetData>
  <pageMargins left="0.25" right="0.25" top="0.75" bottom="0.75" header="0.3" footer="0.3"/>
  <pageSetup orientation="landscape" r:id="rId1"/>
  <headerFooter>
    <oddHeader>&amp;CBattleBots Extreme Pricing Challenge 2023 - Interactive Analysis</oddHeader>
    <oddFooter>&amp;R&amp;F
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94BC6-9B67-4EC7-9C33-9880B7DECD78}">
  <dimension ref="A1"/>
  <sheetViews>
    <sheetView showGridLines="0" workbookViewId="0">
      <selection activeCell="T14" sqref="T1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4D0D5-5445-4719-A785-C43D7B69F1B1}">
  <dimension ref="C4:G21"/>
  <sheetViews>
    <sheetView workbookViewId="0">
      <selection activeCell="F32" sqref="F32"/>
    </sheetView>
  </sheetViews>
  <sheetFormatPr defaultRowHeight="15" x14ac:dyDescent="0.25"/>
  <cols>
    <col min="4" max="4" width="11.140625" bestFit="1" customWidth="1"/>
    <col min="5" max="5" width="16" bestFit="1" customWidth="1"/>
  </cols>
  <sheetData>
    <row r="4" spans="3:7" x14ac:dyDescent="0.25">
      <c r="D4" t="s">
        <v>1</v>
      </c>
      <c r="E4" t="s">
        <v>1</v>
      </c>
    </row>
    <row r="5" spans="3:7" x14ac:dyDescent="0.25">
      <c r="C5" t="s">
        <v>3</v>
      </c>
      <c r="D5" t="s">
        <v>0</v>
      </c>
      <c r="E5" t="s">
        <v>2</v>
      </c>
      <c r="F5" t="s">
        <v>5</v>
      </c>
      <c r="G5" t="s">
        <v>6</v>
      </c>
    </row>
    <row r="6" spans="3:7" x14ac:dyDescent="0.25">
      <c r="C6">
        <v>2008</v>
      </c>
      <c r="D6" s="3">
        <v>56000000</v>
      </c>
      <c r="E6" s="3">
        <f t="shared" ref="E6:E8" si="0">D6*G6</f>
        <v>82476414.624321878</v>
      </c>
      <c r="F6" s="10">
        <v>1.0080510620000001</v>
      </c>
      <c r="G6">
        <f t="shared" ref="G6:G8" si="1">$F$21/F6</f>
        <v>1.472793118291462</v>
      </c>
    </row>
    <row r="7" spans="3:7" x14ac:dyDescent="0.25">
      <c r="C7">
        <f>C6+1</f>
        <v>2009</v>
      </c>
      <c r="D7" s="3">
        <v>62200000</v>
      </c>
      <c r="E7" s="3">
        <f t="shared" si="0"/>
        <v>89267505.970221177</v>
      </c>
      <c r="F7" s="10">
        <v>1.034478005</v>
      </c>
      <c r="G7">
        <f t="shared" si="1"/>
        <v>1.4351689062736523</v>
      </c>
    </row>
    <row r="8" spans="3:7" x14ac:dyDescent="0.25">
      <c r="C8">
        <f t="shared" ref="C8:C20" si="2">C7+1</f>
        <v>2010</v>
      </c>
      <c r="D8" s="3">
        <v>68400000</v>
      </c>
      <c r="E8" s="3">
        <f t="shared" si="0"/>
        <v>95671644.6515183</v>
      </c>
      <c r="F8" s="10">
        <v>1.0614441299999999</v>
      </c>
      <c r="G8">
        <f t="shared" si="1"/>
        <v>1.3987082551391565</v>
      </c>
    </row>
    <row r="9" spans="3:7" x14ac:dyDescent="0.25">
      <c r="C9">
        <f t="shared" si="2"/>
        <v>2011</v>
      </c>
      <c r="D9" s="3">
        <v>69800000</v>
      </c>
      <c r="E9" s="3">
        <f>D9*G9</f>
        <v>95135744.823140621</v>
      </c>
      <c r="F9" s="10">
        <v>1.0892710910000001</v>
      </c>
      <c r="G9">
        <f>$F$21/F9</f>
        <v>1.3629762868644788</v>
      </c>
    </row>
    <row r="10" spans="3:7" x14ac:dyDescent="0.25">
      <c r="C10">
        <f t="shared" si="2"/>
        <v>2012</v>
      </c>
      <c r="D10" s="3">
        <v>74300000</v>
      </c>
      <c r="E10" s="3">
        <f t="shared" ref="E10:E21" si="3">D10*G10</f>
        <v>98696370.756087497</v>
      </c>
      <c r="F10" s="10">
        <v>1.1176656620000001</v>
      </c>
      <c r="G10">
        <f t="shared" ref="G10:G21" si="4">$F$21/F10</f>
        <v>1.328349539112887</v>
      </c>
    </row>
    <row r="11" spans="3:7" x14ac:dyDescent="0.25">
      <c r="C11">
        <f t="shared" si="2"/>
        <v>2013</v>
      </c>
      <c r="D11" s="3">
        <v>76600000</v>
      </c>
      <c r="E11" s="3">
        <f t="shared" si="3"/>
        <v>99152199.567185745</v>
      </c>
      <c r="F11" s="10">
        <v>1.1469663969999999</v>
      </c>
      <c r="G11">
        <f t="shared" si="4"/>
        <v>1.2944151379528166</v>
      </c>
    </row>
    <row r="12" spans="3:7" x14ac:dyDescent="0.25">
      <c r="C12">
        <f t="shared" si="2"/>
        <v>2014</v>
      </c>
      <c r="D12" s="3">
        <v>79000000</v>
      </c>
      <c r="E12" s="3">
        <f t="shared" si="3"/>
        <v>99660898.000059888</v>
      </c>
      <c r="F12" s="10">
        <v>1.1768647990000001</v>
      </c>
      <c r="G12">
        <f t="shared" si="4"/>
        <v>1.2615303544311378</v>
      </c>
    </row>
    <row r="13" spans="3:7" x14ac:dyDescent="0.25">
      <c r="C13">
        <f t="shared" si="2"/>
        <v>2015</v>
      </c>
      <c r="D13" s="3">
        <v>81400000</v>
      </c>
      <c r="E13" s="3">
        <f t="shared" si="3"/>
        <v>100065246.95088416</v>
      </c>
      <c r="F13" s="10">
        <v>1.2077176439999999</v>
      </c>
      <c r="G13">
        <f t="shared" si="4"/>
        <v>1.2293027880944001</v>
      </c>
    </row>
    <row r="14" spans="3:7" x14ac:dyDescent="0.25">
      <c r="C14">
        <f t="shared" si="2"/>
        <v>2016</v>
      </c>
      <c r="D14" s="3">
        <v>89500000</v>
      </c>
      <c r="E14" s="3">
        <f t="shared" si="3"/>
        <v>107227448.35171133</v>
      </c>
      <c r="F14" s="10">
        <v>1.2391998200000001</v>
      </c>
      <c r="G14">
        <f t="shared" si="4"/>
        <v>1.198072048622473</v>
      </c>
    </row>
    <row r="15" spans="3:7" x14ac:dyDescent="0.25">
      <c r="C15">
        <f t="shared" si="2"/>
        <v>2017</v>
      </c>
      <c r="D15" s="3">
        <v>99400000</v>
      </c>
      <c r="E15" s="3">
        <f t="shared" si="3"/>
        <v>116046095.91653699</v>
      </c>
      <c r="F15" s="10">
        <v>1.2716866959999999</v>
      </c>
      <c r="G15">
        <f t="shared" si="4"/>
        <v>1.1674657536874948</v>
      </c>
    </row>
    <row r="16" spans="3:7" x14ac:dyDescent="0.25">
      <c r="C16">
        <f t="shared" si="2"/>
        <v>2018</v>
      </c>
      <c r="D16" s="3">
        <v>105700000</v>
      </c>
      <c r="E16" s="3">
        <f t="shared" si="3"/>
        <v>120266108.50785933</v>
      </c>
      <c r="F16" s="10">
        <v>1.304836229</v>
      </c>
      <c r="G16">
        <f t="shared" si="4"/>
        <v>1.1378061353629076</v>
      </c>
    </row>
    <row r="17" spans="3:7" x14ac:dyDescent="0.25">
      <c r="C17">
        <f t="shared" si="2"/>
        <v>2019</v>
      </c>
      <c r="D17" s="3">
        <v>110100000</v>
      </c>
      <c r="E17" s="3">
        <f t="shared" si="3"/>
        <v>122072194.62504153</v>
      </c>
      <c r="F17" s="10">
        <v>1.3390439890000001</v>
      </c>
      <c r="G17">
        <f t="shared" si="4"/>
        <v>1.108739279064864</v>
      </c>
    </row>
    <row r="18" spans="3:7" x14ac:dyDescent="0.25">
      <c r="C18">
        <f t="shared" si="2"/>
        <v>2020</v>
      </c>
      <c r="D18" s="3">
        <v>110100000</v>
      </c>
      <c r="E18" s="3">
        <f t="shared" si="3"/>
        <v>118970920.43931468</v>
      </c>
      <c r="F18" s="10">
        <v>1.3739495150000001</v>
      </c>
      <c r="G18">
        <f t="shared" si="4"/>
        <v>1.0805714844624403</v>
      </c>
    </row>
    <row r="19" spans="3:7" x14ac:dyDescent="0.25">
      <c r="C19">
        <f t="shared" si="2"/>
        <v>2021</v>
      </c>
      <c r="D19" s="3">
        <v>111200000</v>
      </c>
      <c r="E19" s="3">
        <f t="shared" si="3"/>
        <v>117089918.53104511</v>
      </c>
      <c r="F19" s="10">
        <v>1.4099689900000001</v>
      </c>
      <c r="G19">
        <f t="shared" si="4"/>
        <v>1.0529668932647942</v>
      </c>
    </row>
    <row r="20" spans="3:7" x14ac:dyDescent="0.25">
      <c r="C20">
        <f t="shared" si="2"/>
        <v>2022</v>
      </c>
      <c r="D20" s="3">
        <v>117000000</v>
      </c>
      <c r="E20" s="3">
        <f t="shared" si="3"/>
        <v>120067287.61964488</v>
      </c>
      <c r="F20" s="10">
        <v>1.4467231789999999</v>
      </c>
      <c r="G20">
        <f t="shared" si="4"/>
        <v>1.0262161335012383</v>
      </c>
    </row>
    <row r="21" spans="3:7" x14ac:dyDescent="0.25">
      <c r="C21">
        <v>2023</v>
      </c>
      <c r="D21" s="3">
        <v>130000000</v>
      </c>
      <c r="E21" s="3">
        <f t="shared" si="3"/>
        <v>130000000</v>
      </c>
      <c r="F21" s="10">
        <v>1.4846506669999999</v>
      </c>
      <c r="G21">
        <f t="shared" si="4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Title</vt:lpstr>
      <vt:lpstr>Premium Trend</vt:lpstr>
      <vt:lpstr>Loss Trend</vt:lpstr>
      <vt:lpstr>Layer Loss Picks</vt:lpstr>
      <vt:lpstr>Final Pricing</vt:lpstr>
      <vt:lpstr>Antitrust Notice</vt:lpstr>
      <vt:lpstr>OL Calc</vt:lpstr>
      <vt:lpstr>'Layer Loss Picks'!Print_Titles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HOLBORN - Park, Lana</dc:creator>
  <cp:lastModifiedBy>HOLBORN - Gould Rabin, Stephanie</cp:lastModifiedBy>
  <cp:lastPrinted>2023-05-30T14:58:08Z</cp:lastPrinted>
  <dcterms:created xsi:type="dcterms:W3CDTF">2023-03-28T14:58:25Z</dcterms:created>
  <dcterms:modified xsi:type="dcterms:W3CDTF">2023-05-30T14:58:20Z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{82ADABC3-D218-4EC7-9FD3-8051B6AD5F32}</vt:lpwstr>
  </property>
</Properties>
</file>