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5bf0834d02ed3a/CARE Planning/2023/Battlebots Extrteme 2023/"/>
    </mc:Choice>
  </mc:AlternateContent>
  <xr:revisionPtr revIDLastSave="26" documentId="8_{B6F69662-4947-45F9-8084-E0E62A00ED2A}" xr6:coauthVersionLast="47" xr6:coauthVersionMax="47" xr10:uidLastSave="{4F334892-B848-4114-BA0B-D8D05A490DE4}"/>
  <bookViews>
    <workbookView xWindow="-28920" yWindow="-45" windowWidth="29040" windowHeight="15840" tabRatio="576" xr2:uid="{EFD2249C-DBDB-4137-AE7E-5CEC286EA389}"/>
  </bookViews>
  <sheets>
    <sheet name="Title" sheetId="13" r:id="rId1"/>
    <sheet name=" Treaty Structure" sheetId="10" r:id="rId2"/>
    <sheet name="SEP by Line" sheetId="5" r:id="rId3"/>
    <sheet name="SEP by State " sheetId="12" r:id="rId4"/>
    <sheet name="Rate Changes" sheetId="4" r:id="rId5"/>
    <sheet name="Pers APD Profile" sheetId="8" r:id="rId6"/>
    <sheet name="HO Prop Profile" sheetId="9" r:id="rId7"/>
    <sheet name="Cat Modeling" sheetId="3" r:id="rId8"/>
    <sheet name="Loss Experience" sheetId="6" r:id="rId9"/>
    <sheet name="Treaty Experience" sheetId="7" r:id="rId10"/>
  </sheets>
  <definedNames>
    <definedName name="_xlnm._FilterDatabase" localSheetId="8" hidden="1">'Loss Experience'!$C$8:$K$42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3" l="1"/>
  <c r="L28" i="3" s="1"/>
  <c r="M24" i="3"/>
  <c r="M28" i="3" s="1"/>
  <c r="L30" i="3" a="1"/>
  <c r="L30" i="3" s="1"/>
  <c r="I37" i="3"/>
  <c r="I36" i="3"/>
  <c r="I35" i="3"/>
  <c r="I19" i="3"/>
  <c r="I18" i="3"/>
  <c r="I17" i="3"/>
  <c r="H55" i="3"/>
  <c r="G55" i="3"/>
  <c r="F55" i="3"/>
  <c r="E55" i="3"/>
  <c r="D55" i="3"/>
  <c r="I55" i="3" s="1"/>
  <c r="H54" i="3"/>
  <c r="G54" i="3"/>
  <c r="I54" i="3" s="1"/>
  <c r="F54" i="3"/>
  <c r="E54" i="3"/>
  <c r="D54" i="3"/>
  <c r="H53" i="3"/>
  <c r="G53" i="3"/>
  <c r="F53" i="3"/>
  <c r="E53" i="3"/>
  <c r="D53" i="3"/>
  <c r="I53" i="3" s="1"/>
  <c r="L48" i="3" s="1" a="1"/>
  <c r="L48" i="3" s="1"/>
  <c r="L46" i="3"/>
  <c r="M42" i="3"/>
  <c r="M46" i="3" s="1"/>
  <c r="L42" i="3"/>
  <c r="L12" i="3" a="1"/>
  <c r="L12" i="3" s="1"/>
  <c r="M6" i="3"/>
  <c r="M10" i="3" s="1"/>
  <c r="L6" i="3"/>
  <c r="L10" i="3" s="1"/>
  <c r="D6" i="10"/>
  <c r="D10" i="10" s="1"/>
  <c r="C6" i="10"/>
  <c r="C10" i="10" s="1"/>
  <c r="K25" i="6"/>
  <c r="J25" i="6"/>
  <c r="I25" i="6"/>
  <c r="H25" i="6"/>
  <c r="K24" i="6"/>
  <c r="J24" i="6"/>
  <c r="I24" i="6"/>
  <c r="H24" i="6"/>
  <c r="K23" i="6"/>
  <c r="J23" i="6"/>
  <c r="I23" i="6"/>
  <c r="H23" i="6"/>
  <c r="K22" i="6"/>
  <c r="J22" i="6"/>
  <c r="I22" i="6"/>
  <c r="H22" i="6"/>
  <c r="H21" i="6"/>
  <c r="I21" i="6"/>
  <c r="J21" i="6"/>
  <c r="K21" i="6"/>
  <c r="H20" i="6"/>
  <c r="I20" i="6"/>
  <c r="J20" i="6"/>
  <c r="K20" i="6"/>
  <c r="H19" i="6"/>
  <c r="I19" i="6"/>
  <c r="J19" i="6"/>
  <c r="K19" i="6"/>
  <c r="H18" i="6"/>
  <c r="I18" i="6"/>
  <c r="J18" i="6"/>
  <c r="K18" i="6"/>
  <c r="N30" i="3" l="1"/>
  <c r="M30" i="3"/>
  <c r="N48" i="3"/>
  <c r="M48" i="3"/>
  <c r="M12" i="3"/>
  <c r="N12" i="3"/>
  <c r="Q12" i="6" l="1"/>
  <c r="Q14" i="6"/>
  <c r="Q18" i="6"/>
  <c r="O12" i="6"/>
  <c r="P12" i="6"/>
  <c r="O14" i="6"/>
  <c r="P14" i="6"/>
  <c r="O18" i="6"/>
  <c r="P18" i="6"/>
  <c r="N12" i="6"/>
  <c r="N14" i="6"/>
  <c r="N18" i="6"/>
  <c r="H10" i="6"/>
  <c r="N10" i="6" s="1"/>
  <c r="H11" i="6"/>
  <c r="N11" i="6" s="1"/>
  <c r="H12" i="6"/>
  <c r="N13" i="6" s="1"/>
  <c r="H13" i="6"/>
  <c r="H14" i="6"/>
  <c r="H15" i="6"/>
  <c r="H16" i="6"/>
  <c r="H17" i="6"/>
  <c r="N17" i="6" s="1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N23" i="6" s="1"/>
  <c r="H42" i="6"/>
  <c r="H9" i="6"/>
  <c r="N9" i="6" s="1"/>
  <c r="J76" i="7"/>
  <c r="J75" i="7"/>
  <c r="J74" i="7"/>
  <c r="J73" i="7"/>
  <c r="J72" i="7"/>
  <c r="N21" i="6" l="1"/>
  <c r="N15" i="6"/>
  <c r="N20" i="6"/>
  <c r="N19" i="6"/>
  <c r="N16" i="6"/>
  <c r="N22" i="6"/>
  <c r="H43" i="6"/>
  <c r="H44" i="6" s="1"/>
  <c r="K35" i="6"/>
  <c r="J34" i="6"/>
  <c r="I33" i="6"/>
  <c r="L40" i="7"/>
  <c r="L34" i="7"/>
  <c r="L14" i="7"/>
  <c r="R12" i="6"/>
  <c r="L60" i="7" s="1"/>
  <c r="R18" i="6"/>
  <c r="L66" i="7" s="1"/>
  <c r="R14" i="6" l="1"/>
  <c r="V14" i="6" s="1"/>
  <c r="L36" i="7"/>
  <c r="I34" i="6"/>
  <c r="K33" i="6"/>
  <c r="J33" i="6"/>
  <c r="K34" i="6"/>
  <c r="J35" i="6"/>
  <c r="I35" i="6"/>
  <c r="V12" i="6"/>
  <c r="V18" i="6"/>
  <c r="L10" i="7"/>
  <c r="L8" i="7"/>
  <c r="E48" i="3"/>
  <c r="H47" i="3"/>
  <c r="H49" i="3"/>
  <c r="H44" i="3"/>
  <c r="H45" i="3"/>
  <c r="I43" i="3"/>
  <c r="D45" i="3"/>
  <c r="D47" i="3"/>
  <c r="D48" i="3"/>
  <c r="D49" i="3"/>
  <c r="I42" i="3"/>
  <c r="I44" i="3"/>
  <c r="I46" i="3"/>
  <c r="F46" i="3"/>
  <c r="E46" i="3"/>
  <c r="D46" i="3"/>
  <c r="D44" i="3"/>
  <c r="F43" i="3"/>
  <c r="D43" i="3"/>
  <c r="I41" i="3"/>
  <c r="H41" i="3"/>
  <c r="G41" i="3"/>
  <c r="F41" i="3"/>
  <c r="E41" i="3"/>
  <c r="D41" i="3"/>
  <c r="E42" i="3"/>
  <c r="F42" i="3"/>
  <c r="G42" i="3"/>
  <c r="H42" i="3"/>
  <c r="E43" i="3"/>
  <c r="G43" i="3"/>
  <c r="H43" i="3"/>
  <c r="E44" i="3"/>
  <c r="F44" i="3"/>
  <c r="G44" i="3"/>
  <c r="E45" i="3"/>
  <c r="F45" i="3"/>
  <c r="G45" i="3"/>
  <c r="G46" i="3"/>
  <c r="H46" i="3"/>
  <c r="E47" i="3"/>
  <c r="F47" i="3"/>
  <c r="G47" i="3"/>
  <c r="E49" i="3"/>
  <c r="F49" i="3"/>
  <c r="G49" i="3"/>
  <c r="D42" i="3"/>
  <c r="L62" i="7" l="1"/>
  <c r="I36" i="6"/>
  <c r="J36" i="6"/>
  <c r="K36" i="6"/>
  <c r="I45" i="3"/>
  <c r="F48" i="3"/>
  <c r="G48" i="3"/>
  <c r="H48" i="3"/>
  <c r="I49" i="3"/>
  <c r="I47" i="3"/>
  <c r="I48" i="3"/>
  <c r="D50" i="3" l="1"/>
  <c r="I50" i="3"/>
  <c r="G50" i="3" l="1"/>
  <c r="H50" i="3"/>
  <c r="E50" i="3"/>
  <c r="F50" i="3"/>
  <c r="H6" i="12" l="1"/>
  <c r="F6" i="5" s="1"/>
  <c r="H7" i="12"/>
  <c r="F7" i="5" s="1"/>
  <c r="H8" i="12"/>
  <c r="F8" i="5" s="1"/>
  <c r="H9" i="12"/>
  <c r="F9" i="5" s="1"/>
  <c r="H10" i="12"/>
  <c r="F10" i="5" s="1"/>
  <c r="H11" i="12"/>
  <c r="F11" i="5" s="1"/>
  <c r="H12" i="12"/>
  <c r="F12" i="5" s="1"/>
  <c r="H13" i="12"/>
  <c r="F13" i="5" s="1"/>
  <c r="H14" i="12"/>
  <c r="F14" i="5" s="1"/>
  <c r="H15" i="12"/>
  <c r="F15" i="5" s="1"/>
  <c r="H16" i="12"/>
  <c r="F16" i="5" s="1"/>
  <c r="H17" i="12"/>
  <c r="F17" i="5" s="1"/>
  <c r="H18" i="12"/>
  <c r="F18" i="5" s="1"/>
  <c r="H19" i="12"/>
  <c r="F19" i="5" s="1"/>
  <c r="H20" i="12"/>
  <c r="F20" i="5" s="1"/>
  <c r="I16" i="6"/>
  <c r="J16" i="6"/>
  <c r="K16" i="6"/>
  <c r="J13" i="6"/>
  <c r="J14" i="6"/>
  <c r="I15" i="6"/>
  <c r="J17" i="6"/>
  <c r="P17" i="6" s="1"/>
  <c r="K39" i="6"/>
  <c r="J40" i="6"/>
  <c r="J41" i="6"/>
  <c r="J27" i="6"/>
  <c r="I28" i="6"/>
  <c r="I29" i="6"/>
  <c r="I30" i="6"/>
  <c r="K31" i="6"/>
  <c r="J32" i="6"/>
  <c r="I26" i="6"/>
  <c r="P15" i="6" l="1"/>
  <c r="O16" i="6"/>
  <c r="L12" i="7" s="1"/>
  <c r="L39" i="7"/>
  <c r="K17" i="6"/>
  <c r="Q17" i="6" s="1"/>
  <c r="K9" i="6"/>
  <c r="Q9" i="6" s="1"/>
  <c r="K10" i="6"/>
  <c r="J10" i="6"/>
  <c r="P10" i="6" s="1"/>
  <c r="I17" i="6"/>
  <c r="O17" i="6" s="1"/>
  <c r="J30" i="6"/>
  <c r="I9" i="6"/>
  <c r="O9" i="6" s="1"/>
  <c r="J28" i="6"/>
  <c r="J9" i="6"/>
  <c r="P9" i="6" s="1"/>
  <c r="AF19" i="6"/>
  <c r="AK19" i="6" s="1"/>
  <c r="I41" i="6"/>
  <c r="I11" i="6"/>
  <c r="O11" i="6" s="1"/>
  <c r="K40" i="6"/>
  <c r="J12" i="6"/>
  <c r="P13" i="6" s="1"/>
  <c r="I38" i="6"/>
  <c r="I40" i="6"/>
  <c r="K29" i="6"/>
  <c r="I27" i="6"/>
  <c r="J39" i="6"/>
  <c r="K15" i="6"/>
  <c r="I13" i="6"/>
  <c r="J26" i="6"/>
  <c r="K38" i="6"/>
  <c r="AF17" i="6"/>
  <c r="AK17" i="6" s="1"/>
  <c r="J38" i="6"/>
  <c r="K32" i="6"/>
  <c r="J29" i="6"/>
  <c r="K41" i="6"/>
  <c r="I39" i="6"/>
  <c r="J15" i="6"/>
  <c r="K12" i="6"/>
  <c r="I10" i="6"/>
  <c r="O10" i="6" s="1"/>
  <c r="AF10" i="6"/>
  <c r="AK10" i="6" s="1"/>
  <c r="K37" i="6"/>
  <c r="I32" i="6"/>
  <c r="K28" i="6"/>
  <c r="K14" i="6"/>
  <c r="I12" i="6"/>
  <c r="O13" i="6" s="1"/>
  <c r="AF16" i="6"/>
  <c r="AK16" i="6" s="1"/>
  <c r="J37" i="6"/>
  <c r="J31" i="6"/>
  <c r="K11" i="6"/>
  <c r="K26" i="6"/>
  <c r="I37" i="6"/>
  <c r="K30" i="6"/>
  <c r="I14" i="6"/>
  <c r="J11" i="6"/>
  <c r="P11" i="6" s="1"/>
  <c r="K27" i="6"/>
  <c r="K13" i="6"/>
  <c r="AF9" i="6"/>
  <c r="AK9" i="6" s="1"/>
  <c r="AF11" i="6"/>
  <c r="AK11" i="6" s="1"/>
  <c r="I31" i="6"/>
  <c r="AF18" i="6"/>
  <c r="AK18" i="6" s="1"/>
  <c r="AF20" i="6"/>
  <c r="AK20" i="6" s="1"/>
  <c r="J42" i="6"/>
  <c r="I42" i="6"/>
  <c r="K42" i="6"/>
  <c r="F6" i="7"/>
  <c r="F7" i="7"/>
  <c r="F8" i="7"/>
  <c r="F9" i="7"/>
  <c r="F10" i="7"/>
  <c r="F11" i="7"/>
  <c r="F12" i="7"/>
  <c r="F13" i="7"/>
  <c r="F14" i="7"/>
  <c r="X18" i="6" s="1"/>
  <c r="F15" i="7"/>
  <c r="X19" i="6" s="1"/>
  <c r="F16" i="7"/>
  <c r="X20" i="6" s="1"/>
  <c r="F17" i="7"/>
  <c r="X21" i="6" s="1"/>
  <c r="F18" i="7"/>
  <c r="X22" i="6" s="1"/>
  <c r="F19" i="7"/>
  <c r="X23" i="6" s="1"/>
  <c r="Q23" i="6" l="1"/>
  <c r="O23" i="6"/>
  <c r="L19" i="7" s="1"/>
  <c r="P23" i="6"/>
  <c r="L45" i="7" s="1"/>
  <c r="P22" i="6"/>
  <c r="L44" i="7" s="1"/>
  <c r="O21" i="6"/>
  <c r="L17" i="7" s="1"/>
  <c r="Q15" i="6"/>
  <c r="Q19" i="6"/>
  <c r="Q22" i="6"/>
  <c r="R22" i="6" s="1"/>
  <c r="L70" i="7" s="1"/>
  <c r="Q20" i="6"/>
  <c r="R20" i="6" s="1"/>
  <c r="P20" i="6"/>
  <c r="L42" i="7" s="1"/>
  <c r="Q13" i="6"/>
  <c r="R13" i="6" s="1"/>
  <c r="L61" i="7" s="1"/>
  <c r="O19" i="6"/>
  <c r="O15" i="6"/>
  <c r="O22" i="6"/>
  <c r="Q16" i="6"/>
  <c r="R16" i="6" s="1"/>
  <c r="L64" i="7" s="1"/>
  <c r="P16" i="6"/>
  <c r="L38" i="7" s="1"/>
  <c r="P19" i="6"/>
  <c r="Q11" i="6"/>
  <c r="R11" i="6" s="1"/>
  <c r="L59" i="7" s="1"/>
  <c r="O20" i="6"/>
  <c r="L16" i="7" s="1"/>
  <c r="Q10" i="6"/>
  <c r="R10" i="6" s="1"/>
  <c r="L58" i="7" s="1"/>
  <c r="Q21" i="6"/>
  <c r="R21" i="6" s="1"/>
  <c r="L69" i="7" s="1"/>
  <c r="P21" i="6"/>
  <c r="L43" i="7" s="1"/>
  <c r="X28" i="6"/>
  <c r="R17" i="6"/>
  <c r="V17" i="6" s="1"/>
  <c r="L13" i="7"/>
  <c r="L37" i="7"/>
  <c r="R23" i="6"/>
  <c r="L71" i="7" s="1"/>
  <c r="I8" i="7"/>
  <c r="X12" i="6"/>
  <c r="I7" i="7"/>
  <c r="H7" i="7" s="1"/>
  <c r="X11" i="6"/>
  <c r="I6" i="7"/>
  <c r="H6" i="7" s="1"/>
  <c r="X10" i="6"/>
  <c r="I13" i="7"/>
  <c r="X17" i="6"/>
  <c r="X27" i="6" s="1"/>
  <c r="I12" i="7"/>
  <c r="X16" i="6"/>
  <c r="I11" i="7"/>
  <c r="H11" i="7" s="1"/>
  <c r="X15" i="6"/>
  <c r="I10" i="7"/>
  <c r="X14" i="6"/>
  <c r="I9" i="7"/>
  <c r="H9" i="7" s="1"/>
  <c r="X13" i="6"/>
  <c r="AH20" i="6"/>
  <c r="AM20" i="6" s="1"/>
  <c r="K43" i="6"/>
  <c r="K44" i="6" s="1"/>
  <c r="AH10" i="6"/>
  <c r="AM10" i="6" s="1"/>
  <c r="I14" i="7"/>
  <c r="L7" i="7"/>
  <c r="AH19" i="6"/>
  <c r="AM19" i="6" s="1"/>
  <c r="L35" i="7"/>
  <c r="L32" i="7"/>
  <c r="AH18" i="6"/>
  <c r="AM18" i="6" s="1"/>
  <c r="AH9" i="6"/>
  <c r="AM9" i="6" s="1"/>
  <c r="L9" i="7"/>
  <c r="AH16" i="6"/>
  <c r="AM16" i="6" s="1"/>
  <c r="L33" i="7"/>
  <c r="AH17" i="6"/>
  <c r="AM17" i="6" s="1"/>
  <c r="I43" i="6"/>
  <c r="I44" i="6" s="1"/>
  <c r="AH11" i="6"/>
  <c r="AM11" i="6" s="1"/>
  <c r="J43" i="6"/>
  <c r="J44" i="6" s="1"/>
  <c r="AG19" i="6"/>
  <c r="AL19" i="6" s="1"/>
  <c r="AG9" i="6"/>
  <c r="AL9" i="6" s="1"/>
  <c r="AG18" i="6"/>
  <c r="AL18" i="6" s="1"/>
  <c r="AG17" i="6"/>
  <c r="AL17" i="6" s="1"/>
  <c r="AG16" i="6"/>
  <c r="AL16" i="6" s="1"/>
  <c r="AF12" i="6"/>
  <c r="AK12" i="6" s="1"/>
  <c r="AG11" i="6"/>
  <c r="AL11" i="6" s="1"/>
  <c r="AF21" i="6"/>
  <c r="AK21" i="6" s="1"/>
  <c r="AG10" i="6"/>
  <c r="AL10" i="6" s="1"/>
  <c r="AG20" i="6"/>
  <c r="AL20" i="6" s="1"/>
  <c r="F32" i="7"/>
  <c r="I32" i="7" s="1"/>
  <c r="H32" i="7" s="1"/>
  <c r="F42" i="7"/>
  <c r="F40" i="7"/>
  <c r="F39" i="7"/>
  <c r="F34" i="7"/>
  <c r="I34" i="7" s="1"/>
  <c r="F41" i="7"/>
  <c r="F33" i="7"/>
  <c r="F38" i="7"/>
  <c r="F45" i="7"/>
  <c r="F37" i="7"/>
  <c r="F44" i="7"/>
  <c r="F36" i="7"/>
  <c r="F43" i="7"/>
  <c r="F35" i="7"/>
  <c r="V16" i="6" l="1"/>
  <c r="P26" i="6"/>
  <c r="O28" i="6"/>
  <c r="X26" i="6"/>
  <c r="L31" i="7"/>
  <c r="P25" i="6"/>
  <c r="P24" i="6"/>
  <c r="R15" i="6"/>
  <c r="V15" i="6" s="1"/>
  <c r="Q26" i="6"/>
  <c r="R19" i="6"/>
  <c r="R27" i="6" s="1"/>
  <c r="Q28" i="6"/>
  <c r="O27" i="6"/>
  <c r="L5" i="7"/>
  <c r="O25" i="6"/>
  <c r="O24" i="6"/>
  <c r="L11" i="7"/>
  <c r="J11" i="7" s="1"/>
  <c r="O26" i="6"/>
  <c r="Q25" i="6"/>
  <c r="Q24" i="6"/>
  <c r="Q27" i="6"/>
  <c r="L41" i="7"/>
  <c r="P28" i="6"/>
  <c r="P27" i="6"/>
  <c r="L65" i="7"/>
  <c r="J9" i="7"/>
  <c r="V23" i="6"/>
  <c r="J34" i="7"/>
  <c r="K34" i="7" s="1"/>
  <c r="H34" i="7"/>
  <c r="J7" i="7"/>
  <c r="J13" i="7"/>
  <c r="H13" i="7"/>
  <c r="J8" i="7"/>
  <c r="H8" i="7"/>
  <c r="J10" i="7"/>
  <c r="H10" i="7"/>
  <c r="J12" i="7"/>
  <c r="H12" i="7"/>
  <c r="J14" i="7"/>
  <c r="H14" i="7"/>
  <c r="V21" i="6"/>
  <c r="R9" i="6"/>
  <c r="J32" i="7"/>
  <c r="K32" i="7" s="1"/>
  <c r="I40" i="7"/>
  <c r="I15" i="7"/>
  <c r="V13" i="6"/>
  <c r="L6" i="7"/>
  <c r="J6" i="7" s="1"/>
  <c r="V10" i="6"/>
  <c r="AH21" i="6"/>
  <c r="AM21" i="6" s="1"/>
  <c r="V11" i="6"/>
  <c r="AH12" i="6"/>
  <c r="AM12" i="6" s="1"/>
  <c r="L68" i="7"/>
  <c r="V20" i="6"/>
  <c r="L15" i="7"/>
  <c r="V22" i="6"/>
  <c r="L18" i="7"/>
  <c r="F68" i="7"/>
  <c r="AG12" i="6"/>
  <c r="AL12" i="6" s="1"/>
  <c r="AG21" i="6"/>
  <c r="AL21" i="6" s="1"/>
  <c r="F58" i="7"/>
  <c r="I58" i="7" s="1"/>
  <c r="F66" i="7"/>
  <c r="I39" i="7"/>
  <c r="F65" i="7"/>
  <c r="F60" i="7"/>
  <c r="I60" i="7" s="1"/>
  <c r="I37" i="7"/>
  <c r="F63" i="7"/>
  <c r="I63" i="7" s="1"/>
  <c r="I38" i="7"/>
  <c r="F64" i="7"/>
  <c r="I64" i="7" s="1"/>
  <c r="I35" i="7"/>
  <c r="F61" i="7"/>
  <c r="I61" i="7" s="1"/>
  <c r="F71" i="7"/>
  <c r="F69" i="7"/>
  <c r="I36" i="7"/>
  <c r="F62" i="7"/>
  <c r="I62" i="7" s="1"/>
  <c r="I33" i="7"/>
  <c r="F59" i="7"/>
  <c r="I59" i="7" s="1"/>
  <c r="F70" i="7"/>
  <c r="I41" i="7"/>
  <c r="F67" i="7"/>
  <c r="H15" i="7" l="1"/>
  <c r="V19" i="6"/>
  <c r="V28" i="6" s="1"/>
  <c r="L24" i="7"/>
  <c r="L22" i="7"/>
  <c r="L67" i="7"/>
  <c r="L76" i="7" s="1"/>
  <c r="R28" i="6"/>
  <c r="L23" i="7"/>
  <c r="L50" i="7"/>
  <c r="L49" i="7"/>
  <c r="L63" i="7"/>
  <c r="R26" i="6"/>
  <c r="L21" i="7"/>
  <c r="L57" i="7"/>
  <c r="R25" i="6"/>
  <c r="R24" i="6"/>
  <c r="L48" i="7"/>
  <c r="L47" i="7"/>
  <c r="L46" i="7"/>
  <c r="J38" i="7"/>
  <c r="K38" i="7" s="1"/>
  <c r="H38" i="7"/>
  <c r="J33" i="7"/>
  <c r="K33" i="7" s="1"/>
  <c r="H33" i="7"/>
  <c r="J37" i="7"/>
  <c r="K37" i="7" s="1"/>
  <c r="H37" i="7"/>
  <c r="J41" i="7"/>
  <c r="H41" i="7"/>
  <c r="J39" i="7"/>
  <c r="H39" i="7"/>
  <c r="J40" i="7"/>
  <c r="K40" i="7" s="1"/>
  <c r="N40" i="7" s="1"/>
  <c r="H40" i="7"/>
  <c r="J35" i="7"/>
  <c r="K35" i="7" s="1"/>
  <c r="H35" i="7"/>
  <c r="J36" i="7"/>
  <c r="H36" i="7"/>
  <c r="K61" i="7"/>
  <c r="M61" i="7" s="1"/>
  <c r="H61" i="7"/>
  <c r="K60" i="7"/>
  <c r="M60" i="7" s="1"/>
  <c r="H60" i="7"/>
  <c r="K58" i="7"/>
  <c r="M58" i="7" s="1"/>
  <c r="H58" i="7"/>
  <c r="K59" i="7"/>
  <c r="M59" i="7" s="1"/>
  <c r="H59" i="7"/>
  <c r="K64" i="7"/>
  <c r="N64" i="7" s="1"/>
  <c r="H64" i="7"/>
  <c r="K62" i="7"/>
  <c r="H62" i="7"/>
  <c r="K63" i="7"/>
  <c r="H63" i="7"/>
  <c r="V9" i="6"/>
  <c r="J15" i="7"/>
  <c r="I65" i="7"/>
  <c r="I66" i="7"/>
  <c r="I16" i="7"/>
  <c r="N34" i="7"/>
  <c r="M34" i="7"/>
  <c r="L20" i="7"/>
  <c r="M32" i="7"/>
  <c r="N32" i="7"/>
  <c r="U10" i="6"/>
  <c r="U11" i="6"/>
  <c r="U12" i="6"/>
  <c r="U13" i="6"/>
  <c r="U15" i="6"/>
  <c r="U16" i="6"/>
  <c r="U18" i="6"/>
  <c r="U20" i="6"/>
  <c r="U21" i="6"/>
  <c r="U22" i="6"/>
  <c r="U23" i="6"/>
  <c r="E43" i="6"/>
  <c r="E44" i="6" s="1"/>
  <c r="K6" i="7"/>
  <c r="K7" i="7"/>
  <c r="K8" i="7"/>
  <c r="K9" i="7"/>
  <c r="K10" i="7"/>
  <c r="K11" i="7"/>
  <c r="K12" i="7"/>
  <c r="K13" i="7"/>
  <c r="K14" i="7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V26" i="6" l="1"/>
  <c r="M62" i="7"/>
  <c r="U17" i="6"/>
  <c r="N27" i="6"/>
  <c r="U19" i="6"/>
  <c r="W19" i="6" s="1"/>
  <c r="N28" i="6"/>
  <c r="N25" i="6"/>
  <c r="N24" i="6"/>
  <c r="V27" i="6"/>
  <c r="L75" i="7"/>
  <c r="U14" i="6"/>
  <c r="N26" i="6"/>
  <c r="L74" i="7"/>
  <c r="L72" i="7"/>
  <c r="L73" i="7"/>
  <c r="K15" i="7"/>
  <c r="M15" i="7" s="1"/>
  <c r="U9" i="6"/>
  <c r="W9" i="6" s="1"/>
  <c r="V25" i="6"/>
  <c r="V24" i="6"/>
  <c r="K36" i="7"/>
  <c r="N36" i="7" s="1"/>
  <c r="K41" i="7"/>
  <c r="N41" i="7" s="1"/>
  <c r="K39" i="7"/>
  <c r="N63" i="7"/>
  <c r="M64" i="7"/>
  <c r="J16" i="7"/>
  <c r="K16" i="7" s="1"/>
  <c r="N16" i="7" s="1"/>
  <c r="H16" i="7"/>
  <c r="M63" i="7"/>
  <c r="N61" i="7"/>
  <c r="N60" i="7"/>
  <c r="N62" i="7"/>
  <c r="N59" i="7"/>
  <c r="Y12" i="6"/>
  <c r="K65" i="7"/>
  <c r="H65" i="7"/>
  <c r="N58" i="7"/>
  <c r="K66" i="7"/>
  <c r="N66" i="7" s="1"/>
  <c r="H66" i="7"/>
  <c r="Y13" i="6"/>
  <c r="Y16" i="6"/>
  <c r="Y15" i="6"/>
  <c r="Z15" i="6" s="1"/>
  <c r="Y11" i="6"/>
  <c r="AB11" i="6" s="1"/>
  <c r="Y10" i="6"/>
  <c r="Z10" i="6" s="1"/>
  <c r="AA16" i="6"/>
  <c r="W16" i="6"/>
  <c r="M12" i="7"/>
  <c r="AA22" i="6"/>
  <c r="W22" i="6"/>
  <c r="AA21" i="6"/>
  <c r="W21" i="6"/>
  <c r="AA13" i="6"/>
  <c r="W13" i="6"/>
  <c r="W20" i="6"/>
  <c r="AA20" i="6"/>
  <c r="W12" i="6"/>
  <c r="AA12" i="6"/>
  <c r="M14" i="7"/>
  <c r="AA23" i="6"/>
  <c r="W23" i="6"/>
  <c r="M9" i="7"/>
  <c r="M8" i="7"/>
  <c r="AA11" i="6"/>
  <c r="W11" i="6"/>
  <c r="AA15" i="6"/>
  <c r="W15" i="6"/>
  <c r="AA18" i="6"/>
  <c r="W18" i="6"/>
  <c r="W10" i="6"/>
  <c r="AA10" i="6"/>
  <c r="M40" i="7"/>
  <c r="I42" i="7"/>
  <c r="I17" i="7"/>
  <c r="M13" i="7"/>
  <c r="N38" i="7"/>
  <c r="M38" i="7"/>
  <c r="M33" i="7"/>
  <c r="N33" i="7"/>
  <c r="M35" i="7"/>
  <c r="N35" i="7"/>
  <c r="M37" i="7"/>
  <c r="N37" i="7"/>
  <c r="N11" i="7"/>
  <c r="M11" i="7"/>
  <c r="N10" i="7"/>
  <c r="M10" i="7"/>
  <c r="N7" i="7"/>
  <c r="M7" i="7"/>
  <c r="N6" i="7"/>
  <c r="M6" i="7"/>
  <c r="N13" i="7"/>
  <c r="N12" i="7"/>
  <c r="N9" i="7"/>
  <c r="N8" i="7"/>
  <c r="N14" i="7"/>
  <c r="M36" i="7" l="1"/>
  <c r="Y14" i="6"/>
  <c r="Z14" i="6" s="1"/>
  <c r="M41" i="7"/>
  <c r="U26" i="6"/>
  <c r="AA26" i="6" s="1"/>
  <c r="U27" i="6"/>
  <c r="AA27" i="6" s="1"/>
  <c r="H17" i="7"/>
  <c r="N65" i="7"/>
  <c r="W14" i="6"/>
  <c r="AA14" i="6"/>
  <c r="H42" i="7"/>
  <c r="W17" i="6"/>
  <c r="U28" i="6"/>
  <c r="AA28" i="6" s="1"/>
  <c r="AA17" i="6"/>
  <c r="AA19" i="6"/>
  <c r="N39" i="7"/>
  <c r="N15" i="7"/>
  <c r="M39" i="7"/>
  <c r="U24" i="6"/>
  <c r="U25" i="6"/>
  <c r="W28" i="6"/>
  <c r="Y17" i="6"/>
  <c r="M16" i="7"/>
  <c r="Y18" i="6"/>
  <c r="Z18" i="6" s="1"/>
  <c r="AC18" i="6" s="1"/>
  <c r="M66" i="7"/>
  <c r="M65" i="7"/>
  <c r="AB10" i="6"/>
  <c r="AB15" i="6"/>
  <c r="AC15" i="6"/>
  <c r="AC10" i="6"/>
  <c r="Z11" i="6"/>
  <c r="AC11" i="6" s="1"/>
  <c r="Z16" i="6"/>
  <c r="AC16" i="6" s="1"/>
  <c r="AB16" i="6"/>
  <c r="Z12" i="6"/>
  <c r="AC12" i="6" s="1"/>
  <c r="AB12" i="6"/>
  <c r="Z13" i="6"/>
  <c r="AC13" i="6" s="1"/>
  <c r="AB13" i="6"/>
  <c r="I67" i="7"/>
  <c r="J42" i="7"/>
  <c r="I43" i="7"/>
  <c r="H43" i="7" s="1"/>
  <c r="I18" i="7"/>
  <c r="H18" i="7" s="1"/>
  <c r="J17" i="7"/>
  <c r="K17" i="7" s="1"/>
  <c r="D6" i="9"/>
  <c r="D5" i="9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B49" i="3"/>
  <c r="B48" i="3"/>
  <c r="B47" i="3"/>
  <c r="B46" i="3"/>
  <c r="B45" i="3"/>
  <c r="B44" i="3"/>
  <c r="B43" i="3"/>
  <c r="B42" i="3"/>
  <c r="B41" i="3"/>
  <c r="I34" i="3"/>
  <c r="H34" i="3"/>
  <c r="G34" i="3"/>
  <c r="F34" i="3"/>
  <c r="E34" i="3"/>
  <c r="D34" i="3"/>
  <c r="B31" i="3"/>
  <c r="B30" i="3"/>
  <c r="B29" i="3"/>
  <c r="B28" i="3"/>
  <c r="B27" i="3"/>
  <c r="B26" i="3"/>
  <c r="B25" i="3"/>
  <c r="B24" i="3"/>
  <c r="B23" i="3"/>
  <c r="I16" i="3"/>
  <c r="H16" i="3"/>
  <c r="G16" i="3"/>
  <c r="F16" i="3"/>
  <c r="E16" i="3"/>
  <c r="D16" i="3"/>
  <c r="B13" i="3"/>
  <c r="B12" i="3"/>
  <c r="B11" i="3"/>
  <c r="B10" i="3"/>
  <c r="B9" i="3"/>
  <c r="B8" i="3"/>
  <c r="B7" i="3"/>
  <c r="B6" i="3"/>
  <c r="B5" i="3"/>
  <c r="AB14" i="6" l="1"/>
  <c r="W25" i="6"/>
  <c r="W27" i="6"/>
  <c r="W26" i="6"/>
  <c r="W24" i="6"/>
  <c r="AC14" i="6"/>
  <c r="AB17" i="6"/>
  <c r="K42" i="7"/>
  <c r="N42" i="7" s="1"/>
  <c r="Z17" i="6"/>
  <c r="AB18" i="6"/>
  <c r="K67" i="7"/>
  <c r="H67" i="7"/>
  <c r="I68" i="7"/>
  <c r="J43" i="7"/>
  <c r="K43" i="7" s="1"/>
  <c r="I44" i="7"/>
  <c r="H44" i="7" s="1"/>
  <c r="N17" i="7"/>
  <c r="M17" i="7"/>
  <c r="J18" i="7"/>
  <c r="K18" i="7" s="1"/>
  <c r="I19" i="7"/>
  <c r="I24" i="7" s="1"/>
  <c r="D4" i="9"/>
  <c r="I22" i="7" l="1"/>
  <c r="H19" i="7"/>
  <c r="I23" i="7"/>
  <c r="Y19" i="6"/>
  <c r="Z19" i="6" s="1"/>
  <c r="M42" i="7"/>
  <c r="AC17" i="6"/>
  <c r="N67" i="7"/>
  <c r="M67" i="7"/>
  <c r="K68" i="7"/>
  <c r="Y20" i="6" s="1"/>
  <c r="Z20" i="6" s="1"/>
  <c r="AC20" i="6" s="1"/>
  <c r="H68" i="7"/>
  <c r="I69" i="7"/>
  <c r="I45" i="7"/>
  <c r="I48" i="7" s="1"/>
  <c r="M43" i="7"/>
  <c r="N43" i="7"/>
  <c r="J44" i="7"/>
  <c r="M18" i="7"/>
  <c r="N18" i="7"/>
  <c r="J19" i="7"/>
  <c r="E4" i="9"/>
  <c r="H5" i="12"/>
  <c r="I50" i="7" l="1"/>
  <c r="AB19" i="6"/>
  <c r="I49" i="7"/>
  <c r="K19" i="7"/>
  <c r="J22" i="7"/>
  <c r="J24" i="7"/>
  <c r="J23" i="7"/>
  <c r="AC19" i="6"/>
  <c r="K44" i="7"/>
  <c r="N44" i="7" s="1"/>
  <c r="J45" i="7"/>
  <c r="K45" i="7" s="1"/>
  <c r="N45" i="7" s="1"/>
  <c r="H45" i="7"/>
  <c r="M68" i="7"/>
  <c r="N68" i="7"/>
  <c r="AB20" i="6"/>
  <c r="K69" i="7"/>
  <c r="N69" i="7" s="1"/>
  <c r="H69" i="7"/>
  <c r="I70" i="7"/>
  <c r="F5" i="7"/>
  <c r="F5" i="5"/>
  <c r="M44" i="7" l="1"/>
  <c r="Y21" i="6"/>
  <c r="AB21" i="6" s="1"/>
  <c r="N49" i="7"/>
  <c r="N50" i="7"/>
  <c r="N48" i="7"/>
  <c r="K49" i="7"/>
  <c r="M49" i="7" s="1"/>
  <c r="K48" i="7"/>
  <c r="M48" i="7" s="1"/>
  <c r="K50" i="7"/>
  <c r="M50" i="7" s="1"/>
  <c r="J48" i="7"/>
  <c r="J50" i="7"/>
  <c r="J49" i="7"/>
  <c r="K24" i="7"/>
  <c r="M24" i="7" s="1"/>
  <c r="K23" i="7"/>
  <c r="M23" i="7" s="1"/>
  <c r="K22" i="7"/>
  <c r="M22" i="7" s="1"/>
  <c r="M19" i="7"/>
  <c r="N19" i="7"/>
  <c r="M69" i="7"/>
  <c r="M45" i="7"/>
  <c r="K70" i="7"/>
  <c r="Y22" i="6" s="1"/>
  <c r="Z22" i="6" s="1"/>
  <c r="AC22" i="6" s="1"/>
  <c r="H70" i="7"/>
  <c r="I5" i="7"/>
  <c r="X9" i="6"/>
  <c r="I71" i="7"/>
  <c r="F31" i="7"/>
  <c r="F57" i="7" s="1"/>
  <c r="I57" i="7" s="1"/>
  <c r="D5" i="5"/>
  <c r="E5" i="5" s="1"/>
  <c r="Z21" i="6" l="1"/>
  <c r="AC21" i="6" s="1"/>
  <c r="H57" i="7"/>
  <c r="I73" i="7"/>
  <c r="I72" i="7"/>
  <c r="I74" i="7"/>
  <c r="I75" i="7"/>
  <c r="I76" i="7"/>
  <c r="H5" i="7"/>
  <c r="I21" i="7"/>
  <c r="X24" i="6"/>
  <c r="X25" i="6"/>
  <c r="AA25" i="6" s="1"/>
  <c r="N24" i="7"/>
  <c r="N23" i="7"/>
  <c r="N22" i="7"/>
  <c r="J5" i="7"/>
  <c r="I20" i="7"/>
  <c r="N70" i="7"/>
  <c r="AB22" i="6"/>
  <c r="M70" i="7"/>
  <c r="K71" i="7"/>
  <c r="K76" i="7" s="1"/>
  <c r="M76" i="7" s="1"/>
  <c r="H71" i="7"/>
  <c r="I31" i="7"/>
  <c r="AA9" i="6"/>
  <c r="K57" i="7"/>
  <c r="K75" i="7" l="1"/>
  <c r="M75" i="7" s="1"/>
  <c r="H31" i="7"/>
  <c r="I46" i="7"/>
  <c r="I47" i="7"/>
  <c r="Y23" i="6"/>
  <c r="Y26" i="6" s="1"/>
  <c r="AB26" i="6" s="1"/>
  <c r="K74" i="7"/>
  <c r="M74" i="7" s="1"/>
  <c r="K72" i="7"/>
  <c r="M72" i="7" s="1"/>
  <c r="K73" i="7"/>
  <c r="M73" i="7" s="1"/>
  <c r="J20" i="7"/>
  <c r="J21" i="7"/>
  <c r="N71" i="7"/>
  <c r="N76" i="7" s="1"/>
  <c r="J31" i="7"/>
  <c r="K5" i="7"/>
  <c r="M71" i="7"/>
  <c r="AA24" i="6"/>
  <c r="N57" i="7"/>
  <c r="M57" i="7"/>
  <c r="AB23" i="6" l="1"/>
  <c r="Z23" i="6"/>
  <c r="AC23" i="6" s="1"/>
  <c r="Y27" i="6"/>
  <c r="AB27" i="6" s="1"/>
  <c r="Y28" i="6"/>
  <c r="AB28" i="6" s="1"/>
  <c r="K20" i="7"/>
  <c r="M20" i="7" s="1"/>
  <c r="K21" i="7"/>
  <c r="M21" i="7" s="1"/>
  <c r="N74" i="7"/>
  <c r="N75" i="7"/>
  <c r="N72" i="7"/>
  <c r="N73" i="7"/>
  <c r="J46" i="7"/>
  <c r="J47" i="7"/>
  <c r="K31" i="7"/>
  <c r="N5" i="7"/>
  <c r="M5" i="7"/>
  <c r="Z27" i="6" l="1"/>
  <c r="AC27" i="6" s="1"/>
  <c r="Z26" i="6"/>
  <c r="AC26" i="6" s="1"/>
  <c r="Z28" i="6"/>
  <c r="AC28" i="6" s="1"/>
  <c r="N20" i="7"/>
  <c r="N21" i="7"/>
  <c r="M31" i="7"/>
  <c r="K47" i="7"/>
  <c r="M47" i="7" s="1"/>
  <c r="K46" i="7"/>
  <c r="M46" i="7" s="1"/>
  <c r="N31" i="7"/>
  <c r="Y9" i="6"/>
  <c r="AB9" i="6" l="1"/>
  <c r="Y25" i="6"/>
  <c r="AB25" i="6" s="1"/>
  <c r="Y24" i="6"/>
  <c r="N47" i="7"/>
  <c r="N46" i="7"/>
  <c r="Z9" i="6"/>
  <c r="AC9" i="6" l="1"/>
  <c r="Z25" i="6"/>
  <c r="AC25" i="6" s="1"/>
  <c r="Z24" i="6"/>
  <c r="AB24" i="6"/>
  <c r="AC24" i="6" l="1"/>
</calcChain>
</file>

<file path=xl/sharedStrings.xml><?xml version="1.0" encoding="utf-8"?>
<sst xmlns="http://schemas.openxmlformats.org/spreadsheetml/2006/main" count="673" uniqueCount="113">
  <si>
    <t>Total</t>
  </si>
  <si>
    <t>Winter Storm</t>
  </si>
  <si>
    <t>HU</t>
  </si>
  <si>
    <t>EQ+FF</t>
  </si>
  <si>
    <t>Property</t>
  </si>
  <si>
    <t>APD</t>
  </si>
  <si>
    <t>AAL</t>
  </si>
  <si>
    <t>Critical</t>
  </si>
  <si>
    <t>Return</t>
  </si>
  <si>
    <t>Model Blend (50% RMS, 50% AIR)</t>
  </si>
  <si>
    <t>Prob.</t>
  </si>
  <si>
    <t>Period</t>
  </si>
  <si>
    <t>To/Hail</t>
  </si>
  <si>
    <t>All Perils</t>
  </si>
  <si>
    <t>Pure Premium (AAL)</t>
  </si>
  <si>
    <t>Standard Deviation</t>
  </si>
  <si>
    <t>CA</t>
  </si>
  <si>
    <t>CV (SD/AAL)</t>
  </si>
  <si>
    <t>Wildfire</t>
  </si>
  <si>
    <t>Limit</t>
  </si>
  <si>
    <t>Retention</t>
  </si>
  <si>
    <t>All Perils Cat Modeling Statistics by Layer</t>
  </si>
  <si>
    <t>Homeowners</t>
  </si>
  <si>
    <t>Actual</t>
  </si>
  <si>
    <t>Projected</t>
  </si>
  <si>
    <t>AY</t>
  </si>
  <si>
    <t>Premium by Year and Line</t>
  </si>
  <si>
    <t>Premium by Year and State</t>
  </si>
  <si>
    <t>Earned</t>
  </si>
  <si>
    <t>Premium</t>
  </si>
  <si>
    <t>Location Count</t>
  </si>
  <si>
    <t>Grand Total</t>
  </si>
  <si>
    <t>Treaty Year</t>
  </si>
  <si>
    <t>Coverage</t>
  </si>
  <si>
    <t>State</t>
  </si>
  <si>
    <t>HO</t>
  </si>
  <si>
    <t>PPA</t>
  </si>
  <si>
    <t>Personal</t>
  </si>
  <si>
    <t>xs</t>
  </si>
  <si>
    <t>15 Year Total</t>
  </si>
  <si>
    <t>Loss Ratio</t>
  </si>
  <si>
    <t>Deposit</t>
  </si>
  <si>
    <t>Reinstatement</t>
  </si>
  <si>
    <t>LOB</t>
  </si>
  <si>
    <t>Overall Change</t>
  </si>
  <si>
    <t>Effective Date</t>
  </si>
  <si>
    <t>Earthquake</t>
  </si>
  <si>
    <t>Hurricane</t>
  </si>
  <si>
    <t>Reinstatements</t>
  </si>
  <si>
    <t>Peril</t>
  </si>
  <si>
    <t>Wind/Hail</t>
  </si>
  <si>
    <t>Fire</t>
  </si>
  <si>
    <t>MN</t>
  </si>
  <si>
    <t>IL</t>
  </si>
  <si>
    <t>TIV (000s)</t>
  </si>
  <si>
    <t>Average TIV</t>
  </si>
  <si>
    <t>Vehicle Count</t>
  </si>
  <si>
    <t>N/A</t>
  </si>
  <si>
    <t>Occ Layer 1</t>
  </si>
  <si>
    <t>Occ Layer 2</t>
  </si>
  <si>
    <t>VA</t>
  </si>
  <si>
    <t>Property Occurrence XoL</t>
  </si>
  <si>
    <t>Ceded Premium</t>
  </si>
  <si>
    <t>Moody's RMS</t>
  </si>
  <si>
    <t>Verisk AIR</t>
  </si>
  <si>
    <t>Subj to Agg</t>
  </si>
  <si>
    <t>Gross</t>
  </si>
  <si>
    <t>Ceded</t>
  </si>
  <si>
    <t>Net</t>
  </si>
  <si>
    <t>Accident Year</t>
  </si>
  <si>
    <t>Case Incurred Loss + LAE</t>
  </si>
  <si>
    <t>Rate of Subj</t>
  </si>
  <si>
    <t>Rate on Line</t>
  </si>
  <si>
    <t>15 Year Average</t>
  </si>
  <si>
    <t>10 Year Average</t>
  </si>
  <si>
    <t>7 Year Average</t>
  </si>
  <si>
    <t>5 Year Average</t>
  </si>
  <si>
    <t>Loss + LAE</t>
  </si>
  <si>
    <t>Reinsurer</t>
  </si>
  <si>
    <t>Balance</t>
  </si>
  <si>
    <t>Subject</t>
  </si>
  <si>
    <t>Ceded Layer 1</t>
  </si>
  <si>
    <t>Ceded Layer 2</t>
  </si>
  <si>
    <t>Accident</t>
  </si>
  <si>
    <t>Year</t>
  </si>
  <si>
    <t>Ceded Agg Layer</t>
  </si>
  <si>
    <t>Loss + LAE Ratio</t>
  </si>
  <si>
    <t>Aggregate Layer AAL</t>
  </si>
  <si>
    <t>Agg Layer</t>
  </si>
  <si>
    <t>Ground Up</t>
  </si>
  <si>
    <t>Annual Average</t>
  </si>
  <si>
    <t>Wind exposed location count and TIV at 12/31/22</t>
  </si>
  <si>
    <t>Historical Vehicles in Force (VIF) at 12/31/22</t>
  </si>
  <si>
    <t>Rate Change</t>
  </si>
  <si>
    <t>Ground Up Catastrophe Losses Excess of $1M</t>
  </si>
  <si>
    <t>Supplemental: Loss by Year</t>
  </si>
  <si>
    <t>Supplemental: Loss by Occurrence</t>
  </si>
  <si>
    <t>Supplemental: Experience by Year</t>
  </si>
  <si>
    <t>Supplemental: 15 Year Total Loss by State and Peril</t>
  </si>
  <si>
    <t>Supplemental: 15 Year Average Loss by State and Peril</t>
  </si>
  <si>
    <t>Occurrence Layer 1</t>
  </si>
  <si>
    <t>Occurrence Layer 2</t>
  </si>
  <si>
    <t>Aggregate Layer</t>
  </si>
  <si>
    <t>Occ Retention</t>
  </si>
  <si>
    <t>Occ Limit</t>
  </si>
  <si>
    <t>1 @ 100%</t>
  </si>
  <si>
    <t>Agg Retention</t>
  </si>
  <si>
    <t>Agg Limit</t>
  </si>
  <si>
    <t>Aggregate Layer XoL</t>
  </si>
  <si>
    <t>Treaty Structure</t>
  </si>
  <si>
    <t>Cat Occurrence Losses by Model</t>
  </si>
  <si>
    <t>Occurrence Layer 1 AAL</t>
  </si>
  <si>
    <t>Occurrence Layer 2 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</si>
</sst>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</cellStyleXfs>
  <cellXfs count="18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10" fontId="5" fillId="0" borderId="6" xfId="0" applyNumberFormat="1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0" fillId="0" borderId="2" xfId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9" fontId="0" fillId="0" borderId="3" xfId="2" applyFont="1" applyFill="1" applyBorder="1" applyAlignment="1"/>
    <xf numFmtId="9" fontId="0" fillId="0" borderId="11" xfId="2" applyFont="1" applyFill="1" applyBorder="1" applyAlignment="1"/>
    <xf numFmtId="9" fontId="0" fillId="0" borderId="12" xfId="2" applyFont="1" applyFill="1" applyBorder="1" applyAlignment="1"/>
    <xf numFmtId="9" fontId="0" fillId="0" borderId="0" xfId="2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  <xf numFmtId="0" fontId="0" fillId="0" borderId="6" xfId="0" applyBorder="1"/>
    <xf numFmtId="0" fontId="0" fillId="0" borderId="7" xfId="0" applyBorder="1" applyAlignment="1">
      <alignment horizontal="right"/>
    </xf>
    <xf numFmtId="164" fontId="0" fillId="0" borderId="0" xfId="1" applyNumberFormat="1" applyFont="1" applyBorder="1"/>
    <xf numFmtId="164" fontId="0" fillId="0" borderId="7" xfId="1" applyNumberFormat="1" applyFont="1" applyBorder="1"/>
    <xf numFmtId="0" fontId="0" fillId="0" borderId="3" xfId="0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3" fillId="3" borderId="0" xfId="0" applyFont="1" applyFill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164" fontId="0" fillId="0" borderId="14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3" xfId="0" applyFont="1" applyFill="1" applyBorder="1"/>
    <xf numFmtId="0" fontId="3" fillId="3" borderId="1" xfId="0" applyFont="1" applyFill="1" applyBorder="1" applyAlignment="1">
      <alignment horizontal="right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4" xfId="1" applyNumberFormat="1" applyFont="1" applyBorder="1"/>
    <xf numFmtId="0" fontId="0" fillId="0" borderId="11" xfId="0" applyBorder="1"/>
    <xf numFmtId="9" fontId="0" fillId="0" borderId="7" xfId="2" applyFont="1" applyBorder="1"/>
    <xf numFmtId="9" fontId="0" fillId="0" borderId="12" xfId="2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0" fontId="0" fillId="0" borderId="14" xfId="0" applyBorder="1"/>
    <xf numFmtId="164" fontId="0" fillId="0" borderId="6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3" fillId="3" borderId="5" xfId="0" applyFont="1" applyFill="1" applyBorder="1" applyAlignment="1">
      <alignment horizontal="centerContinuous"/>
    </xf>
    <xf numFmtId="164" fontId="0" fillId="0" borderId="7" xfId="1" applyNumberFormat="1" applyFont="1" applyBorder="1" applyAlignment="1">
      <alignment horizontal="center"/>
    </xf>
    <xf numFmtId="0" fontId="5" fillId="0" borderId="6" xfId="0" applyFont="1" applyBorder="1"/>
    <xf numFmtId="0" fontId="5" fillId="0" borderId="3" xfId="0" applyFont="1" applyBorder="1"/>
    <xf numFmtId="0" fontId="3" fillId="3" borderId="10" xfId="0" applyFont="1" applyFill="1" applyBorder="1"/>
    <xf numFmtId="9" fontId="0" fillId="0" borderId="11" xfId="2" applyFont="1" applyBorder="1"/>
    <xf numFmtId="0" fontId="5" fillId="0" borderId="10" xfId="0" applyFont="1" applyBorder="1"/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right" vertical="center" indent="1"/>
    </xf>
    <xf numFmtId="165" fontId="1" fillId="0" borderId="14" xfId="2" applyNumberFormat="1" applyFont="1" applyBorder="1"/>
    <xf numFmtId="0" fontId="9" fillId="0" borderId="13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right" vertical="center" indent="1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 indent="1"/>
    </xf>
    <xf numFmtId="165" fontId="1" fillId="0" borderId="13" xfId="2" applyNumberFormat="1" applyFont="1" applyBorder="1"/>
    <xf numFmtId="165" fontId="1" fillId="0" borderId="1" xfId="2" applyNumberFormat="1" applyFont="1" applyBorder="1"/>
    <xf numFmtId="0" fontId="0" fillId="0" borderId="1" xfId="0" applyBorder="1" applyAlignment="1">
      <alignment horizontal="right"/>
    </xf>
    <xf numFmtId="43" fontId="0" fillId="0" borderId="0" xfId="0" applyNumberFormat="1"/>
    <xf numFmtId="0" fontId="6" fillId="3" borderId="13" xfId="0" applyFont="1" applyFill="1" applyBorder="1" applyAlignment="1">
      <alignment horizontal="right"/>
    </xf>
    <xf numFmtId="164" fontId="1" fillId="0" borderId="14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center"/>
    </xf>
    <xf numFmtId="164" fontId="5" fillId="0" borderId="9" xfId="1" applyNumberFormat="1" applyFont="1" applyBorder="1"/>
    <xf numFmtId="164" fontId="0" fillId="0" borderId="13" xfId="1" applyNumberFormat="1" applyFont="1" applyBorder="1"/>
    <xf numFmtId="164" fontId="0" fillId="0" borderId="1" xfId="1" applyNumberFormat="1" applyFont="1" applyBorder="1"/>
    <xf numFmtId="10" fontId="0" fillId="0" borderId="0" xfId="0" applyNumberFormat="1"/>
    <xf numFmtId="164" fontId="0" fillId="0" borderId="14" xfId="1" applyNumberFormat="1" applyFont="1" applyFill="1" applyBorder="1"/>
    <xf numFmtId="9" fontId="0" fillId="0" borderId="6" xfId="2" applyFont="1" applyBorder="1"/>
    <xf numFmtId="9" fontId="0" fillId="0" borderId="0" xfId="2" applyFont="1" applyBorder="1"/>
    <xf numFmtId="9" fontId="0" fillId="0" borderId="3" xfId="2" applyFont="1" applyBorder="1"/>
    <xf numFmtId="164" fontId="0" fillId="0" borderId="7" xfId="1" applyNumberFormat="1" applyFont="1" applyFill="1" applyBorder="1"/>
    <xf numFmtId="0" fontId="0" fillId="0" borderId="0" xfId="0" applyAlignment="1">
      <alignment horizontal="right"/>
    </xf>
    <xf numFmtId="164" fontId="5" fillId="0" borderId="8" xfId="1" applyNumberFormat="1" applyFont="1" applyBorder="1"/>
    <xf numFmtId="164" fontId="5" fillId="0" borderId="2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164" fontId="5" fillId="0" borderId="3" xfId="0" applyNumberFormat="1" applyFon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" xfId="0" applyNumberFormat="1" applyFont="1" applyBorder="1"/>
    <xf numFmtId="0" fontId="3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right"/>
    </xf>
    <xf numFmtId="9" fontId="0" fillId="0" borderId="0" xfId="0" applyNumberFormat="1"/>
    <xf numFmtId="164" fontId="5" fillId="0" borderId="14" xfId="0" applyNumberFormat="1" applyFont="1" applyBorder="1"/>
    <xf numFmtId="0" fontId="0" fillId="0" borderId="14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3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164" fontId="5" fillId="0" borderId="10" xfId="1" applyNumberFormat="1" applyFont="1" applyBorder="1"/>
    <xf numFmtId="164" fontId="5" fillId="0" borderId="15" xfId="1" applyNumberFormat="1" applyFont="1" applyBorder="1"/>
    <xf numFmtId="9" fontId="5" fillId="0" borderId="9" xfId="2" applyFont="1" applyBorder="1"/>
    <xf numFmtId="166" fontId="0" fillId="0" borderId="0" xfId="2" applyNumberFormat="1" applyFont="1" applyBorder="1" applyAlignment="1">
      <alignment horizontal="right"/>
    </xf>
    <xf numFmtId="166" fontId="0" fillId="0" borderId="11" xfId="2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4" fontId="3" fillId="3" borderId="4" xfId="1" applyNumberFormat="1" applyFont="1" applyFill="1" applyBorder="1" applyAlignment="1">
      <alignment horizontal="centerContinuous"/>
    </xf>
    <xf numFmtId="0" fontId="5" fillId="0" borderId="11" xfId="0" applyFont="1" applyBorder="1" applyAlignment="1">
      <alignment horizontal="right"/>
    </xf>
    <xf numFmtId="0" fontId="0" fillId="0" borderId="13" xfId="0" applyBorder="1"/>
    <xf numFmtId="164" fontId="3" fillId="3" borderId="5" xfId="1" applyNumberFormat="1" applyFont="1" applyFill="1" applyBorder="1" applyAlignment="1">
      <alignment horizontal="centerContinuous"/>
    </xf>
    <xf numFmtId="0" fontId="5" fillId="0" borderId="1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9" fontId="5" fillId="0" borderId="10" xfId="2" applyFont="1" applyBorder="1"/>
    <xf numFmtId="9" fontId="5" fillId="0" borderId="8" xfId="2" applyFont="1" applyBorder="1"/>
    <xf numFmtId="0" fontId="0" fillId="3" borderId="13" xfId="0" applyFill="1" applyBorder="1" applyAlignment="1">
      <alignment horizontal="right"/>
    </xf>
    <xf numFmtId="10" fontId="4" fillId="0" borderId="0" xfId="0" applyNumberFormat="1" applyFont="1"/>
    <xf numFmtId="164" fontId="0" fillId="0" borderId="5" xfId="1" applyNumberFormat="1" applyFont="1" applyFill="1" applyBorder="1" applyAlignment="1"/>
    <xf numFmtId="164" fontId="0" fillId="0" borderId="7" xfId="1" applyNumberFormat="1" applyFont="1" applyFill="1" applyBorder="1" applyAlignment="1"/>
    <xf numFmtId="164" fontId="0" fillId="0" borderId="12" xfId="1" applyNumberFormat="1" applyFont="1" applyFill="1" applyBorder="1" applyAlignment="1"/>
    <xf numFmtId="0" fontId="0" fillId="4" borderId="0" xfId="0" applyFill="1"/>
    <xf numFmtId="0" fontId="6" fillId="4" borderId="0" xfId="0" applyFont="1" applyFill="1"/>
    <xf numFmtId="0" fontId="3" fillId="4" borderId="0" xfId="0" applyFont="1" applyFill="1"/>
    <xf numFmtId="0" fontId="3" fillId="3" borderId="0" xfId="0" applyFont="1" applyFill="1"/>
    <xf numFmtId="164" fontId="0" fillId="0" borderId="0" xfId="1" applyNumberFormat="1" applyFont="1" applyAlignment="1">
      <alignment horizontal="right"/>
    </xf>
    <xf numFmtId="164" fontId="3" fillId="4" borderId="0" xfId="0" applyNumberFormat="1" applyFont="1" applyFill="1"/>
    <xf numFmtId="9" fontId="3" fillId="4" borderId="0" xfId="2" applyFont="1" applyFill="1"/>
    <xf numFmtId="0" fontId="3" fillId="3" borderId="2" xfId="0" applyFont="1" applyFill="1" applyBorder="1" applyAlignment="1">
      <alignment horizontal="centerContinuous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0" fillId="0" borderId="4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11" xfId="1" applyNumberFormat="1" applyFont="1" applyFill="1" applyBorder="1" applyAlignment="1"/>
    <xf numFmtId="0" fontId="3" fillId="3" borderId="3" xfId="0" applyFont="1" applyFill="1" applyBorder="1"/>
    <xf numFmtId="0" fontId="0" fillId="0" borderId="10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164" fontId="0" fillId="0" borderId="8" xfId="1" applyNumberFormat="1" applyFont="1" applyFill="1" applyBorder="1"/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5" borderId="0" xfId="0" applyFill="1"/>
    <xf numFmtId="0" fontId="11" fillId="0" borderId="3" xfId="0" applyFont="1" applyBorder="1"/>
    <xf numFmtId="164" fontId="11" fillId="0" borderId="11" xfId="0" applyNumberFormat="1" applyFont="1" applyBorder="1"/>
    <xf numFmtId="164" fontId="11" fillId="0" borderId="12" xfId="0" applyNumberFormat="1" applyFont="1" applyBorder="1"/>
  </cellXfs>
  <cellStyles count="7">
    <cellStyle name="Comma" xfId="1" builtinId="3"/>
    <cellStyle name="Comma 4" xfId="4" xr:uid="{F0B2DA12-B863-4F1D-9359-B913A1E79B7A}"/>
    <cellStyle name="Normal" xfId="0" builtinId="0"/>
    <cellStyle name="Normal 10" xfId="5" xr:uid="{A483E8DA-56EE-4663-9754-281F5031C80F}"/>
    <cellStyle name="Normal 2 2" xfId="6" xr:uid="{9F74F7E9-5DF9-4660-897F-1FDD9DE61075}"/>
    <cellStyle name="Normal 3" xfId="3" xr:uid="{2B6A3DE3-F8E3-4399-97B8-4C0CAE39649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21</xdr:col>
      <xdr:colOff>541257</xdr:colOff>
      <xdr:row>38</xdr:row>
      <xdr:rowOff>145677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4C4007-F76D-48E9-AF19-25BADF48A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45"/>
        <a:stretch/>
      </xdr:blipFill>
      <xdr:spPr>
        <a:xfrm>
          <a:off x="0" y="1"/>
          <a:ext cx="13342857" cy="7384676"/>
        </a:xfrm>
        <a:prstGeom prst="rect">
          <a:avLst/>
        </a:prstGeom>
      </xdr:spPr>
    </xdr:pic>
    <xdr:clientData/>
  </xdr:twoCellAnchor>
  <xdr:twoCellAnchor>
    <xdr:from>
      <xdr:col>6</xdr:col>
      <xdr:colOff>571500</xdr:colOff>
      <xdr:row>30</xdr:row>
      <xdr:rowOff>78440</xdr:rowOff>
    </xdr:from>
    <xdr:to>
      <xdr:col>15</xdr:col>
      <xdr:colOff>168088</xdr:colOff>
      <xdr:row>36</xdr:row>
      <xdr:rowOff>123265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9FA91F-AA44-4925-B858-D7DA8B90A6DA}"/>
            </a:ext>
          </a:extLst>
        </xdr:cNvPr>
        <xdr:cNvSpPr txBox="1"/>
      </xdr:nvSpPr>
      <xdr:spPr>
        <a:xfrm>
          <a:off x="4202206" y="5793440"/>
          <a:ext cx="5042647" cy="118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1">
              <a:solidFill>
                <a:schemeClr val="accent6"/>
              </a:solidFill>
              <a:latin typeface="Congenial Black" panose="020B0604020202020204" pitchFamily="2" charset="0"/>
            </a:rPr>
            <a:t>SUBMISSION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E588-B18A-4FFF-BFF5-144F9A744D08}">
  <dimension ref="A1"/>
  <sheetViews>
    <sheetView tabSelected="1" zoomScale="85" zoomScaleNormal="85" workbookViewId="0"/>
  </sheetViews>
  <sheetFormatPr defaultRowHeight="15" x14ac:dyDescent="0.25"/>
  <cols>
    <col min="1" max="16384" width="9.140625" style="17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31CA-8F3C-47D9-9EE6-45FF39456E60}">
  <sheetPr>
    <pageSetUpPr fitToPage="1"/>
  </sheetPr>
  <dimension ref="B1:E10"/>
  <sheetViews>
    <sheetView showGridLines="0" workbookViewId="0"/>
  </sheetViews>
  <sheetFormatPr defaultRowHeight="15" x14ac:dyDescent="0.25"/>
  <cols>
    <col min="1" max="1" width="4.85546875" customWidth="1"/>
    <col min="2" max="2" width="15.140625" bestFit="1" customWidth="1"/>
    <col min="3" max="3" width="12.5703125" customWidth="1"/>
    <col min="4" max="4" width="11.5703125" bestFit="1" customWidth="1"/>
    <col min="5" max="5" width="19" bestFit="1" customWidth="1"/>
  </cols>
  <sheetData>
    <row r="1" spans="2:5" x14ac:dyDescent="0.25">
      <c r="B1" s="152" t="s">
        <v>109</v>
      </c>
      <c r="C1" s="152"/>
      <c r="D1" s="152"/>
      <c r="E1" s="152"/>
    </row>
    <row r="3" spans="2:5" x14ac:dyDescent="0.25">
      <c r="B3" s="60"/>
      <c r="C3" s="157" t="s">
        <v>61</v>
      </c>
      <c r="D3" s="74"/>
      <c r="E3" s="60" t="s">
        <v>108</v>
      </c>
    </row>
    <row r="4" spans="2:5" x14ac:dyDescent="0.25">
      <c r="B4" s="163"/>
      <c r="C4" s="6" t="s">
        <v>58</v>
      </c>
      <c r="D4" s="7" t="s">
        <v>59</v>
      </c>
      <c r="E4" s="164" t="s">
        <v>88</v>
      </c>
    </row>
    <row r="5" spans="2:5" x14ac:dyDescent="0.25">
      <c r="B5" s="70" t="s">
        <v>103</v>
      </c>
      <c r="C5" s="158">
        <v>15000000</v>
      </c>
      <c r="D5" s="159">
        <v>30000000</v>
      </c>
      <c r="E5" s="56">
        <v>5000000</v>
      </c>
    </row>
    <row r="6" spans="2:5" x14ac:dyDescent="0.25">
      <c r="B6" s="70" t="s">
        <v>104</v>
      </c>
      <c r="C6" s="13">
        <f>C5</f>
        <v>15000000</v>
      </c>
      <c r="D6" s="15">
        <f>D5</f>
        <v>30000000</v>
      </c>
      <c r="E6" s="56">
        <v>10000000</v>
      </c>
    </row>
    <row r="7" spans="2:5" x14ac:dyDescent="0.25">
      <c r="B7" s="70" t="s">
        <v>48</v>
      </c>
      <c r="C7" s="13" t="s">
        <v>105</v>
      </c>
      <c r="D7" s="15" t="s">
        <v>105</v>
      </c>
      <c r="E7" s="56" t="s">
        <v>57</v>
      </c>
    </row>
    <row r="8" spans="2:5" x14ac:dyDescent="0.25">
      <c r="B8" s="169"/>
      <c r="C8" s="170"/>
      <c r="D8" s="170"/>
      <c r="E8" s="171"/>
    </row>
    <row r="9" spans="2:5" x14ac:dyDescent="0.25">
      <c r="B9" s="70" t="s">
        <v>106</v>
      </c>
      <c r="C9" s="13">
        <v>0</v>
      </c>
      <c r="D9" s="15">
        <v>0</v>
      </c>
      <c r="E9" s="56">
        <v>20000000</v>
      </c>
    </row>
    <row r="10" spans="2:5" x14ac:dyDescent="0.25">
      <c r="B10" s="124" t="s">
        <v>107</v>
      </c>
      <c r="C10" s="160">
        <f>C6*2</f>
        <v>30000000</v>
      </c>
      <c r="D10" s="161">
        <f>D6*2</f>
        <v>60000000</v>
      </c>
      <c r="E10" s="162">
        <v>50000000</v>
      </c>
    </row>
  </sheetData>
  <pageMargins left="0.25" right="0.25" top="0.75" bottom="0.75" header="0.3" footer="0.3"/>
  <pageSetup orientation="landscape" r:id="rId1"/>
  <headerFooter>
    <oddHeader>&amp;CBattleBots Extreme Pricing Challenge 2023 - Submission</oddHeader>
    <oddFooter>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E6B3-E162-42B0-BD17-1E5384661D81}">
  <sheetPr>
    <pageSetUpPr fitToPage="1"/>
  </sheetPr>
  <dimension ref="B1:F20"/>
  <sheetViews>
    <sheetView showGridLines="0" workbookViewId="0"/>
  </sheetViews>
  <sheetFormatPr defaultRowHeight="15" x14ac:dyDescent="0.25"/>
  <cols>
    <col min="1" max="1" width="5.85546875" customWidth="1"/>
    <col min="2" max="12" width="13.7109375" customWidth="1"/>
    <col min="14" max="14" width="21.42578125" bestFit="1" customWidth="1"/>
    <col min="15" max="16" width="14.28515625" bestFit="1" customWidth="1"/>
    <col min="17" max="17" width="15.28515625" bestFit="1" customWidth="1"/>
  </cols>
  <sheetData>
    <row r="1" spans="2:6" x14ac:dyDescent="0.25">
      <c r="B1" s="152" t="s">
        <v>26</v>
      </c>
      <c r="C1" s="152"/>
      <c r="D1" s="152"/>
      <c r="E1" s="152"/>
      <c r="F1" s="152"/>
    </row>
    <row r="3" spans="2:6" x14ac:dyDescent="0.25">
      <c r="B3" s="44" t="s">
        <v>28</v>
      </c>
      <c r="C3" s="45"/>
      <c r="D3" s="46" t="s">
        <v>22</v>
      </c>
      <c r="E3" s="46" t="s">
        <v>37</v>
      </c>
      <c r="F3" s="95"/>
    </row>
    <row r="4" spans="2:6" x14ac:dyDescent="0.25">
      <c r="B4" s="41" t="s">
        <v>29</v>
      </c>
      <c r="C4" s="42" t="s">
        <v>25</v>
      </c>
      <c r="D4" s="40" t="s">
        <v>4</v>
      </c>
      <c r="E4" s="40" t="s">
        <v>5</v>
      </c>
      <c r="F4" s="55" t="s">
        <v>0</v>
      </c>
    </row>
    <row r="5" spans="2:6" x14ac:dyDescent="0.25">
      <c r="B5" s="47" t="s">
        <v>23</v>
      </c>
      <c r="C5" s="34">
        <v>2008</v>
      </c>
      <c r="D5" s="48">
        <f t="shared" ref="D5:D20" si="0">F5*0.7</f>
        <v>39200000</v>
      </c>
      <c r="E5" s="48">
        <f t="shared" ref="E5:E20" si="1">F5-D5</f>
        <v>16800000</v>
      </c>
      <c r="F5" s="96">
        <f>'SEP by State '!H5</f>
        <v>56000000</v>
      </c>
    </row>
    <row r="6" spans="2:6" x14ac:dyDescent="0.25">
      <c r="B6" s="47" t="s">
        <v>23</v>
      </c>
      <c r="C6" s="34">
        <f t="shared" ref="C6:C19" si="2">C5+1</f>
        <v>2009</v>
      </c>
      <c r="D6" s="48">
        <f t="shared" si="0"/>
        <v>43540000</v>
      </c>
      <c r="E6" s="48">
        <f t="shared" si="1"/>
        <v>18660000</v>
      </c>
      <c r="F6" s="96">
        <f>'SEP by State '!H6</f>
        <v>62200000</v>
      </c>
    </row>
    <row r="7" spans="2:6" x14ac:dyDescent="0.25">
      <c r="B7" s="47" t="s">
        <v>23</v>
      </c>
      <c r="C7" s="34">
        <f t="shared" si="2"/>
        <v>2010</v>
      </c>
      <c r="D7" s="48">
        <f t="shared" si="0"/>
        <v>47880000</v>
      </c>
      <c r="E7" s="48">
        <f t="shared" si="1"/>
        <v>20520000</v>
      </c>
      <c r="F7" s="96">
        <f>'SEP by State '!H7</f>
        <v>68400000</v>
      </c>
    </row>
    <row r="8" spans="2:6" x14ac:dyDescent="0.25">
      <c r="B8" s="47" t="s">
        <v>23</v>
      </c>
      <c r="C8" s="34">
        <f t="shared" si="2"/>
        <v>2011</v>
      </c>
      <c r="D8" s="48">
        <f t="shared" si="0"/>
        <v>48860000</v>
      </c>
      <c r="E8" s="48">
        <f t="shared" si="1"/>
        <v>20940000</v>
      </c>
      <c r="F8" s="96">
        <f>'SEP by State '!H8</f>
        <v>69800000</v>
      </c>
    </row>
    <row r="9" spans="2:6" x14ac:dyDescent="0.25">
      <c r="B9" s="47" t="s">
        <v>23</v>
      </c>
      <c r="C9" s="34">
        <f t="shared" si="2"/>
        <v>2012</v>
      </c>
      <c r="D9" s="48">
        <f t="shared" si="0"/>
        <v>52010000</v>
      </c>
      <c r="E9" s="48">
        <f t="shared" si="1"/>
        <v>22290000</v>
      </c>
      <c r="F9" s="96">
        <f>'SEP by State '!H9</f>
        <v>74300000</v>
      </c>
    </row>
    <row r="10" spans="2:6" x14ac:dyDescent="0.25">
      <c r="B10" s="47" t="s">
        <v>23</v>
      </c>
      <c r="C10" s="34">
        <f t="shared" si="2"/>
        <v>2013</v>
      </c>
      <c r="D10" s="48">
        <f t="shared" si="0"/>
        <v>53620000</v>
      </c>
      <c r="E10" s="48">
        <f t="shared" si="1"/>
        <v>22980000</v>
      </c>
      <c r="F10" s="96">
        <f>'SEP by State '!H10</f>
        <v>76600000</v>
      </c>
    </row>
    <row r="11" spans="2:6" x14ac:dyDescent="0.25">
      <c r="B11" s="47" t="s">
        <v>23</v>
      </c>
      <c r="C11" s="34">
        <f t="shared" si="2"/>
        <v>2014</v>
      </c>
      <c r="D11" s="48">
        <f t="shared" si="0"/>
        <v>55300000</v>
      </c>
      <c r="E11" s="48">
        <f t="shared" si="1"/>
        <v>23700000</v>
      </c>
      <c r="F11" s="96">
        <f>'SEP by State '!H11</f>
        <v>79000000</v>
      </c>
    </row>
    <row r="12" spans="2:6" x14ac:dyDescent="0.25">
      <c r="B12" s="47" t="s">
        <v>23</v>
      </c>
      <c r="C12" s="34">
        <f t="shared" si="2"/>
        <v>2015</v>
      </c>
      <c r="D12" s="48">
        <f t="shared" si="0"/>
        <v>56980000</v>
      </c>
      <c r="E12" s="48">
        <f t="shared" si="1"/>
        <v>24420000</v>
      </c>
      <c r="F12" s="96">
        <f>'SEP by State '!H12</f>
        <v>81400000</v>
      </c>
    </row>
    <row r="13" spans="2:6" x14ac:dyDescent="0.25">
      <c r="B13" s="47" t="s">
        <v>23</v>
      </c>
      <c r="C13" s="34">
        <f t="shared" si="2"/>
        <v>2016</v>
      </c>
      <c r="D13" s="48">
        <f t="shared" si="0"/>
        <v>62649999.999999993</v>
      </c>
      <c r="E13" s="48">
        <f t="shared" si="1"/>
        <v>26850000.000000007</v>
      </c>
      <c r="F13" s="96">
        <f>'SEP by State '!H13</f>
        <v>89500000</v>
      </c>
    </row>
    <row r="14" spans="2:6" x14ac:dyDescent="0.25">
      <c r="B14" s="47" t="s">
        <v>23</v>
      </c>
      <c r="C14" s="34">
        <f t="shared" si="2"/>
        <v>2017</v>
      </c>
      <c r="D14" s="48">
        <f t="shared" si="0"/>
        <v>69580000</v>
      </c>
      <c r="E14" s="48">
        <f t="shared" si="1"/>
        <v>29820000</v>
      </c>
      <c r="F14" s="96">
        <f>'SEP by State '!H14</f>
        <v>99400000</v>
      </c>
    </row>
    <row r="15" spans="2:6" x14ac:dyDescent="0.25">
      <c r="B15" s="47" t="s">
        <v>23</v>
      </c>
      <c r="C15" s="34">
        <f t="shared" si="2"/>
        <v>2018</v>
      </c>
      <c r="D15" s="48">
        <f t="shared" si="0"/>
        <v>73990000</v>
      </c>
      <c r="E15" s="48">
        <f t="shared" si="1"/>
        <v>31710000</v>
      </c>
      <c r="F15" s="96">
        <f>'SEP by State '!H15</f>
        <v>105700000</v>
      </c>
    </row>
    <row r="16" spans="2:6" x14ac:dyDescent="0.25">
      <c r="B16" s="47" t="s">
        <v>23</v>
      </c>
      <c r="C16" s="34">
        <f t="shared" si="2"/>
        <v>2019</v>
      </c>
      <c r="D16" s="48">
        <f t="shared" si="0"/>
        <v>77070000</v>
      </c>
      <c r="E16" s="48">
        <f t="shared" si="1"/>
        <v>33030000</v>
      </c>
      <c r="F16" s="96">
        <f>'SEP by State '!H16</f>
        <v>110100000</v>
      </c>
    </row>
    <row r="17" spans="2:6" x14ac:dyDescent="0.25">
      <c r="B17" s="47" t="s">
        <v>23</v>
      </c>
      <c r="C17" s="34">
        <f t="shared" si="2"/>
        <v>2020</v>
      </c>
      <c r="D17" s="48">
        <f t="shared" si="0"/>
        <v>77070000</v>
      </c>
      <c r="E17" s="48">
        <f t="shared" si="1"/>
        <v>33030000</v>
      </c>
      <c r="F17" s="96">
        <f>'SEP by State '!H17</f>
        <v>110100000</v>
      </c>
    </row>
    <row r="18" spans="2:6" x14ac:dyDescent="0.25">
      <c r="B18" s="47" t="s">
        <v>23</v>
      </c>
      <c r="C18" s="34">
        <f t="shared" si="2"/>
        <v>2021</v>
      </c>
      <c r="D18" s="48">
        <f t="shared" si="0"/>
        <v>77840000</v>
      </c>
      <c r="E18" s="48">
        <f t="shared" si="1"/>
        <v>33360000</v>
      </c>
      <c r="F18" s="96">
        <f>'SEP by State '!H18</f>
        <v>111200000</v>
      </c>
    </row>
    <row r="19" spans="2:6" x14ac:dyDescent="0.25">
      <c r="B19" s="47" t="s">
        <v>23</v>
      </c>
      <c r="C19" s="34">
        <f t="shared" si="2"/>
        <v>2022</v>
      </c>
      <c r="D19" s="48">
        <f t="shared" si="0"/>
        <v>81899999.999999985</v>
      </c>
      <c r="E19" s="48">
        <f t="shared" si="1"/>
        <v>35100000</v>
      </c>
      <c r="F19" s="96">
        <f>'SEP by State '!H19</f>
        <v>116999999.99999999</v>
      </c>
    </row>
    <row r="20" spans="2:6" x14ac:dyDescent="0.25">
      <c r="B20" s="49" t="s">
        <v>24</v>
      </c>
      <c r="C20" s="50">
        <v>2023</v>
      </c>
      <c r="D20" s="51">
        <f t="shared" si="0"/>
        <v>90999999.999999985</v>
      </c>
      <c r="E20" s="51">
        <f t="shared" si="1"/>
        <v>39000000</v>
      </c>
      <c r="F20" s="97">
        <f>'SEP by State '!H20</f>
        <v>129999999.99999999</v>
      </c>
    </row>
  </sheetData>
  <pageMargins left="0.25" right="0.25" top="0.75" bottom="0.75" header="0.3" footer="0.3"/>
  <pageSetup orientation="landscape" r:id="rId1"/>
  <headerFooter>
    <oddHeader>&amp;CBattleBots Extreme Pricing Challenge 2023 - Submission</oddHeader>
    <oddFooter>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F4DB-952A-4ABA-8EEB-24D83BDBA715}">
  <sheetPr>
    <pageSetUpPr fitToPage="1"/>
  </sheetPr>
  <dimension ref="B1:M20"/>
  <sheetViews>
    <sheetView showGridLines="0" workbookViewId="0"/>
  </sheetViews>
  <sheetFormatPr defaultRowHeight="15" x14ac:dyDescent="0.25"/>
  <cols>
    <col min="1" max="1" width="2.140625" customWidth="1"/>
    <col min="2" max="8" width="14.28515625" customWidth="1"/>
    <col min="9" max="9" width="12.5703125" bestFit="1" customWidth="1"/>
    <col min="13" max="13" width="15.28515625" bestFit="1" customWidth="1"/>
  </cols>
  <sheetData>
    <row r="1" spans="2:13" x14ac:dyDescent="0.25">
      <c r="B1" s="152" t="s">
        <v>27</v>
      </c>
      <c r="C1" s="152"/>
      <c r="D1" s="152"/>
      <c r="E1" s="152"/>
      <c r="F1" s="152"/>
      <c r="G1" s="152"/>
      <c r="H1" s="152"/>
    </row>
    <row r="3" spans="2:13" x14ac:dyDescent="0.25">
      <c r="B3" s="44" t="s">
        <v>28</v>
      </c>
      <c r="C3" s="45"/>
      <c r="D3" s="46"/>
      <c r="E3" s="46"/>
      <c r="F3" s="46"/>
      <c r="G3" s="46"/>
      <c r="H3" s="54"/>
    </row>
    <row r="4" spans="2:13" x14ac:dyDescent="0.25">
      <c r="B4" s="41" t="s">
        <v>29</v>
      </c>
      <c r="C4" s="42" t="s">
        <v>25</v>
      </c>
      <c r="D4" s="40" t="s">
        <v>16</v>
      </c>
      <c r="E4" s="40" t="s">
        <v>60</v>
      </c>
      <c r="F4" s="40" t="s">
        <v>52</v>
      </c>
      <c r="G4" s="40" t="s">
        <v>53</v>
      </c>
      <c r="H4" s="55" t="s">
        <v>0</v>
      </c>
    </row>
    <row r="5" spans="2:13" x14ac:dyDescent="0.25">
      <c r="B5" s="47" t="s">
        <v>23</v>
      </c>
      <c r="C5" s="34">
        <v>2008</v>
      </c>
      <c r="D5" s="52">
        <v>22400000</v>
      </c>
      <c r="E5" s="52">
        <v>16800000</v>
      </c>
      <c r="F5" s="52">
        <v>16800000</v>
      </c>
      <c r="G5" s="52">
        <v>0</v>
      </c>
      <c r="H5" s="56">
        <f>SUM(D5:G5)</f>
        <v>56000000</v>
      </c>
      <c r="M5" s="1"/>
    </row>
    <row r="6" spans="2:13" x14ac:dyDescent="0.25">
      <c r="B6" s="47" t="s">
        <v>23</v>
      </c>
      <c r="C6" s="34">
        <f t="shared" ref="C6:C19" si="0">C5+1</f>
        <v>2009</v>
      </c>
      <c r="D6" s="52">
        <v>24880000</v>
      </c>
      <c r="E6" s="52">
        <v>18660000</v>
      </c>
      <c r="F6" s="52">
        <v>18660000</v>
      </c>
      <c r="G6" s="52">
        <v>0</v>
      </c>
      <c r="H6" s="56">
        <f t="shared" ref="H6:H20" si="1">SUM(D6:G6)</f>
        <v>62200000</v>
      </c>
      <c r="M6" s="1"/>
    </row>
    <row r="7" spans="2:13" x14ac:dyDescent="0.25">
      <c r="B7" s="47" t="s">
        <v>23</v>
      </c>
      <c r="C7" s="34">
        <f t="shared" si="0"/>
        <v>2010</v>
      </c>
      <c r="D7" s="52">
        <v>27360000</v>
      </c>
      <c r="E7" s="52">
        <v>20520000</v>
      </c>
      <c r="F7" s="52">
        <v>20520000</v>
      </c>
      <c r="G7" s="52">
        <v>0</v>
      </c>
      <c r="H7" s="56">
        <f t="shared" si="1"/>
        <v>68400000</v>
      </c>
      <c r="M7" s="1"/>
    </row>
    <row r="8" spans="2:13" x14ac:dyDescent="0.25">
      <c r="B8" s="47" t="s">
        <v>23</v>
      </c>
      <c r="C8" s="34">
        <f t="shared" si="0"/>
        <v>2011</v>
      </c>
      <c r="D8" s="52">
        <v>27920000</v>
      </c>
      <c r="E8" s="52">
        <v>20940000</v>
      </c>
      <c r="F8" s="52">
        <v>20940000</v>
      </c>
      <c r="G8" s="52">
        <v>0</v>
      </c>
      <c r="H8" s="56">
        <f t="shared" si="1"/>
        <v>69800000</v>
      </c>
      <c r="M8" s="1"/>
    </row>
    <row r="9" spans="2:13" x14ac:dyDescent="0.25">
      <c r="B9" s="47" t="s">
        <v>23</v>
      </c>
      <c r="C9" s="34">
        <f t="shared" si="0"/>
        <v>2012</v>
      </c>
      <c r="D9" s="52">
        <v>29720000</v>
      </c>
      <c r="E9" s="52">
        <v>22290000</v>
      </c>
      <c r="F9" s="52">
        <v>22290000</v>
      </c>
      <c r="G9" s="52">
        <v>0</v>
      </c>
      <c r="H9" s="56">
        <f t="shared" si="1"/>
        <v>74300000</v>
      </c>
      <c r="M9" s="1"/>
    </row>
    <row r="10" spans="2:13" x14ac:dyDescent="0.25">
      <c r="B10" s="47" t="s">
        <v>23</v>
      </c>
      <c r="C10" s="34">
        <f t="shared" si="0"/>
        <v>2013</v>
      </c>
      <c r="D10" s="52">
        <v>30640000</v>
      </c>
      <c r="E10" s="52">
        <v>22980000</v>
      </c>
      <c r="F10" s="52">
        <v>22980000</v>
      </c>
      <c r="G10" s="52">
        <v>0</v>
      </c>
      <c r="H10" s="56">
        <f t="shared" si="1"/>
        <v>76600000</v>
      </c>
      <c r="M10" s="1"/>
    </row>
    <row r="11" spans="2:13" x14ac:dyDescent="0.25">
      <c r="B11" s="47" t="s">
        <v>23</v>
      </c>
      <c r="C11" s="34">
        <f t="shared" si="0"/>
        <v>2014</v>
      </c>
      <c r="D11" s="52">
        <v>31600000</v>
      </c>
      <c r="E11" s="52">
        <v>23700000</v>
      </c>
      <c r="F11" s="52">
        <v>23700000</v>
      </c>
      <c r="G11" s="52">
        <v>0</v>
      </c>
      <c r="H11" s="56">
        <f t="shared" si="1"/>
        <v>79000000</v>
      </c>
      <c r="M11" s="1"/>
    </row>
    <row r="12" spans="2:13" x14ac:dyDescent="0.25">
      <c r="B12" s="47" t="s">
        <v>23</v>
      </c>
      <c r="C12" s="34">
        <f t="shared" si="0"/>
        <v>2015</v>
      </c>
      <c r="D12" s="52">
        <v>32560000</v>
      </c>
      <c r="E12" s="52">
        <v>24420000</v>
      </c>
      <c r="F12" s="52">
        <v>24420000</v>
      </c>
      <c r="G12" s="52">
        <v>0</v>
      </c>
      <c r="H12" s="56">
        <f t="shared" si="1"/>
        <v>81400000</v>
      </c>
      <c r="M12" s="1"/>
    </row>
    <row r="13" spans="2:13" x14ac:dyDescent="0.25">
      <c r="B13" s="47" t="s">
        <v>23</v>
      </c>
      <c r="C13" s="34">
        <f t="shared" si="0"/>
        <v>2016</v>
      </c>
      <c r="D13" s="52">
        <v>35800000</v>
      </c>
      <c r="E13" s="52">
        <v>26850000</v>
      </c>
      <c r="F13" s="52">
        <v>26850000</v>
      </c>
      <c r="G13" s="52">
        <v>0</v>
      </c>
      <c r="H13" s="56">
        <f t="shared" si="1"/>
        <v>89500000</v>
      </c>
      <c r="M13" s="1"/>
    </row>
    <row r="14" spans="2:13" x14ac:dyDescent="0.25">
      <c r="B14" s="47" t="s">
        <v>23</v>
      </c>
      <c r="C14" s="34">
        <f t="shared" si="0"/>
        <v>2017</v>
      </c>
      <c r="D14" s="52">
        <v>39760000</v>
      </c>
      <c r="E14" s="52">
        <v>29820000</v>
      </c>
      <c r="F14" s="52">
        <v>29820000</v>
      </c>
      <c r="G14" s="52">
        <v>0</v>
      </c>
      <c r="H14" s="56">
        <f t="shared" si="1"/>
        <v>99400000</v>
      </c>
      <c r="M14" s="1"/>
    </row>
    <row r="15" spans="2:13" x14ac:dyDescent="0.25">
      <c r="B15" s="47" t="s">
        <v>23</v>
      </c>
      <c r="C15" s="34">
        <f t="shared" si="0"/>
        <v>2018</v>
      </c>
      <c r="D15" s="52">
        <v>42280000</v>
      </c>
      <c r="E15" s="52">
        <v>31710000</v>
      </c>
      <c r="F15" s="52">
        <v>31710000</v>
      </c>
      <c r="G15" s="52">
        <v>0</v>
      </c>
      <c r="H15" s="56">
        <f t="shared" si="1"/>
        <v>105700000</v>
      </c>
      <c r="M15" s="1"/>
    </row>
    <row r="16" spans="2:13" x14ac:dyDescent="0.25">
      <c r="B16" s="47" t="s">
        <v>23</v>
      </c>
      <c r="C16" s="34">
        <f t="shared" si="0"/>
        <v>2019</v>
      </c>
      <c r="D16" s="52">
        <v>44040000</v>
      </c>
      <c r="E16" s="52">
        <v>33030000</v>
      </c>
      <c r="F16" s="52">
        <v>33030000</v>
      </c>
      <c r="G16" s="52">
        <v>0</v>
      </c>
      <c r="H16" s="56">
        <f t="shared" si="1"/>
        <v>110100000</v>
      </c>
      <c r="M16" s="1"/>
    </row>
    <row r="17" spans="2:13" x14ac:dyDescent="0.25">
      <c r="B17" s="47" t="s">
        <v>23</v>
      </c>
      <c r="C17" s="34">
        <f t="shared" si="0"/>
        <v>2020</v>
      </c>
      <c r="D17" s="52">
        <v>44040000</v>
      </c>
      <c r="E17" s="52">
        <v>33030000</v>
      </c>
      <c r="F17" s="52">
        <v>33030000</v>
      </c>
      <c r="G17" s="52">
        <v>0</v>
      </c>
      <c r="H17" s="56">
        <f t="shared" si="1"/>
        <v>110100000</v>
      </c>
      <c r="M17" s="1"/>
    </row>
    <row r="18" spans="2:13" x14ac:dyDescent="0.25">
      <c r="B18" s="47" t="s">
        <v>23</v>
      </c>
      <c r="C18" s="34">
        <f t="shared" si="0"/>
        <v>2021</v>
      </c>
      <c r="D18" s="52">
        <v>44239567.567567565</v>
      </c>
      <c r="E18" s="52">
        <v>33179675.675675675</v>
      </c>
      <c r="F18" s="52">
        <v>33179675.675675675</v>
      </c>
      <c r="G18" s="52">
        <v>601081.08108108107</v>
      </c>
      <c r="H18" s="56">
        <f t="shared" si="1"/>
        <v>111200000</v>
      </c>
      <c r="M18" s="1"/>
    </row>
    <row r="19" spans="2:13" x14ac:dyDescent="0.25">
      <c r="B19" s="47" t="s">
        <v>23</v>
      </c>
      <c r="C19" s="34">
        <f t="shared" si="0"/>
        <v>2022</v>
      </c>
      <c r="D19" s="52">
        <v>46087309.644670047</v>
      </c>
      <c r="E19" s="52">
        <v>34565482.233502537</v>
      </c>
      <c r="F19" s="52">
        <v>34565482.233502537</v>
      </c>
      <c r="G19" s="52">
        <v>1781725.8883248731</v>
      </c>
      <c r="H19" s="56">
        <f t="shared" si="1"/>
        <v>116999999.99999999</v>
      </c>
      <c r="M19" s="1"/>
    </row>
    <row r="20" spans="2:13" x14ac:dyDescent="0.25">
      <c r="B20" s="49" t="s">
        <v>24</v>
      </c>
      <c r="C20" s="50">
        <v>2023</v>
      </c>
      <c r="D20" s="53">
        <v>49523809.523809522</v>
      </c>
      <c r="E20" s="53">
        <v>37142857.142857142</v>
      </c>
      <c r="F20" s="53">
        <v>37142857.142857142</v>
      </c>
      <c r="G20" s="53">
        <v>6190476.1904761903</v>
      </c>
      <c r="H20" s="57">
        <f t="shared" si="1"/>
        <v>129999999.99999999</v>
      </c>
      <c r="M20" s="1"/>
    </row>
  </sheetData>
  <pageMargins left="0.25" right="0.25" top="0.75" bottom="0.75" header="0.3" footer="0.3"/>
  <pageSetup orientation="landscape" r:id="rId1"/>
  <headerFooter>
    <oddHeader>&amp;CBattleBots Extreme Pricing Challenge 2023 - Submission</oddHeader>
    <oddFooter>&amp;R&amp;F
&amp;A</oddFooter>
  </headerFooter>
  <ignoredErrors>
    <ignoredError sqref="H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F284-A3DB-43DC-BEA7-9509FD171FB0}">
  <sheetPr>
    <pageSetUpPr fitToPage="1"/>
  </sheetPr>
  <dimension ref="B1:J51"/>
  <sheetViews>
    <sheetView showGridLines="0" workbookViewId="0"/>
  </sheetViews>
  <sheetFormatPr defaultRowHeight="15" x14ac:dyDescent="0.25"/>
  <cols>
    <col min="1" max="1" width="2.7109375" customWidth="1"/>
    <col min="2" max="5" width="15.5703125" customWidth="1"/>
    <col min="6" max="6" width="5.5703125" customWidth="1"/>
    <col min="7" max="10" width="14.42578125" customWidth="1"/>
    <col min="12" max="12" width="20.42578125" bestFit="1" customWidth="1"/>
  </cols>
  <sheetData>
    <row r="1" spans="2:10" x14ac:dyDescent="0.25">
      <c r="B1" s="152" t="s">
        <v>93</v>
      </c>
      <c r="C1" s="152"/>
      <c r="D1" s="152"/>
      <c r="E1" s="152"/>
      <c r="F1" s="152"/>
      <c r="G1" s="152"/>
      <c r="H1" s="152"/>
      <c r="I1" s="152"/>
      <c r="J1" s="152"/>
    </row>
    <row r="3" spans="2:10" x14ac:dyDescent="0.25">
      <c r="B3" s="81" t="s">
        <v>34</v>
      </c>
      <c r="C3" s="82" t="s">
        <v>43</v>
      </c>
      <c r="D3" s="82" t="s">
        <v>45</v>
      </c>
      <c r="E3" s="83" t="s">
        <v>44</v>
      </c>
      <c r="G3" s="81" t="s">
        <v>34</v>
      </c>
      <c r="H3" s="82" t="s">
        <v>43</v>
      </c>
      <c r="I3" s="82" t="s">
        <v>45</v>
      </c>
      <c r="J3" s="83" t="s">
        <v>44</v>
      </c>
    </row>
    <row r="4" spans="2:10" x14ac:dyDescent="0.25">
      <c r="B4" s="87" t="s">
        <v>16</v>
      </c>
      <c r="C4" s="87" t="s">
        <v>35</v>
      </c>
      <c r="D4" s="88">
        <v>39448</v>
      </c>
      <c r="E4" s="91">
        <v>0.02</v>
      </c>
      <c r="G4" s="87" t="s">
        <v>16</v>
      </c>
      <c r="H4" s="87" t="s">
        <v>36</v>
      </c>
      <c r="I4" s="88">
        <v>39448</v>
      </c>
      <c r="J4" s="91">
        <v>0.02</v>
      </c>
    </row>
    <row r="5" spans="2:10" x14ac:dyDescent="0.25">
      <c r="B5" s="84" t="s">
        <v>16</v>
      </c>
      <c r="C5" s="84" t="s">
        <v>35</v>
      </c>
      <c r="D5" s="85">
        <v>39814</v>
      </c>
      <c r="E5" s="86">
        <v>0.05</v>
      </c>
      <c r="G5" s="84" t="s">
        <v>16</v>
      </c>
      <c r="H5" s="84" t="s">
        <v>36</v>
      </c>
      <c r="I5" s="85">
        <v>39814</v>
      </c>
      <c r="J5" s="86">
        <v>0.05</v>
      </c>
    </row>
    <row r="6" spans="2:10" x14ac:dyDescent="0.25">
      <c r="B6" s="84" t="s">
        <v>16</v>
      </c>
      <c r="C6" s="84" t="s">
        <v>35</v>
      </c>
      <c r="D6" s="85">
        <v>40179</v>
      </c>
      <c r="E6" s="86">
        <v>0.02</v>
      </c>
      <c r="G6" s="84" t="s">
        <v>16</v>
      </c>
      <c r="H6" s="84" t="s">
        <v>36</v>
      </c>
      <c r="I6" s="85">
        <v>40179</v>
      </c>
      <c r="J6" s="86">
        <v>0.02</v>
      </c>
    </row>
    <row r="7" spans="2:10" x14ac:dyDescent="0.25">
      <c r="B7" s="84" t="s">
        <v>16</v>
      </c>
      <c r="C7" s="84" t="s">
        <v>35</v>
      </c>
      <c r="D7" s="85">
        <v>40544</v>
      </c>
      <c r="E7" s="86">
        <v>0.05</v>
      </c>
      <c r="G7" s="84" t="s">
        <v>16</v>
      </c>
      <c r="H7" s="84" t="s">
        <v>36</v>
      </c>
      <c r="I7" s="85">
        <v>40544</v>
      </c>
      <c r="J7" s="86">
        <v>0.05</v>
      </c>
    </row>
    <row r="8" spans="2:10" x14ac:dyDescent="0.25">
      <c r="B8" s="84" t="s">
        <v>16</v>
      </c>
      <c r="C8" s="84" t="s">
        <v>35</v>
      </c>
      <c r="D8" s="85">
        <v>40909</v>
      </c>
      <c r="E8" s="86">
        <v>0.02</v>
      </c>
      <c r="G8" s="84" t="s">
        <v>16</v>
      </c>
      <c r="H8" s="84" t="s">
        <v>36</v>
      </c>
      <c r="I8" s="85">
        <v>40909</v>
      </c>
      <c r="J8" s="86">
        <v>0.02</v>
      </c>
    </row>
    <row r="9" spans="2:10" x14ac:dyDescent="0.25">
      <c r="B9" s="84" t="s">
        <v>16</v>
      </c>
      <c r="C9" s="84" t="s">
        <v>35</v>
      </c>
      <c r="D9" s="85">
        <v>41275</v>
      </c>
      <c r="E9" s="86">
        <v>0.05</v>
      </c>
      <c r="G9" s="84" t="s">
        <v>16</v>
      </c>
      <c r="H9" s="84" t="s">
        <v>36</v>
      </c>
      <c r="I9" s="85">
        <v>41275</v>
      </c>
      <c r="J9" s="86">
        <v>0.05</v>
      </c>
    </row>
    <row r="10" spans="2:10" x14ac:dyDescent="0.25">
      <c r="B10" s="84" t="s">
        <v>16</v>
      </c>
      <c r="C10" s="84" t="s">
        <v>35</v>
      </c>
      <c r="D10" s="85">
        <v>41640</v>
      </c>
      <c r="E10" s="86">
        <v>0.02</v>
      </c>
      <c r="G10" s="84" t="s">
        <v>16</v>
      </c>
      <c r="H10" s="84" t="s">
        <v>36</v>
      </c>
      <c r="I10" s="85">
        <v>41640</v>
      </c>
      <c r="J10" s="86">
        <v>0.02</v>
      </c>
    </row>
    <row r="11" spans="2:10" x14ac:dyDescent="0.25">
      <c r="B11" s="84" t="s">
        <v>16</v>
      </c>
      <c r="C11" s="84" t="s">
        <v>35</v>
      </c>
      <c r="D11" s="85">
        <v>42005</v>
      </c>
      <c r="E11" s="86">
        <v>0.05</v>
      </c>
      <c r="G11" s="84" t="s">
        <v>16</v>
      </c>
      <c r="H11" s="84" t="s">
        <v>36</v>
      </c>
      <c r="I11" s="85">
        <v>42005</v>
      </c>
      <c r="J11" s="86">
        <v>0.05</v>
      </c>
    </row>
    <row r="12" spans="2:10" x14ac:dyDescent="0.25">
      <c r="B12" s="84" t="s">
        <v>16</v>
      </c>
      <c r="C12" s="84" t="s">
        <v>35</v>
      </c>
      <c r="D12" s="85">
        <v>42370</v>
      </c>
      <c r="E12" s="86">
        <v>0.02</v>
      </c>
      <c r="G12" s="84" t="s">
        <v>16</v>
      </c>
      <c r="H12" s="84" t="s">
        <v>36</v>
      </c>
      <c r="I12" s="85">
        <v>42370</v>
      </c>
      <c r="J12" s="86">
        <v>0.02</v>
      </c>
    </row>
    <row r="13" spans="2:10" x14ac:dyDescent="0.25">
      <c r="B13" s="84" t="s">
        <v>16</v>
      </c>
      <c r="C13" s="84" t="s">
        <v>35</v>
      </c>
      <c r="D13" s="85">
        <v>42736</v>
      </c>
      <c r="E13" s="86">
        <v>0.05</v>
      </c>
      <c r="G13" s="84" t="s">
        <v>16</v>
      </c>
      <c r="H13" s="84" t="s">
        <v>36</v>
      </c>
      <c r="I13" s="85">
        <v>42736</v>
      </c>
      <c r="J13" s="86">
        <v>0.05</v>
      </c>
    </row>
    <row r="14" spans="2:10" x14ac:dyDescent="0.25">
      <c r="B14" s="84" t="s">
        <v>16</v>
      </c>
      <c r="C14" s="84" t="s">
        <v>35</v>
      </c>
      <c r="D14" s="85">
        <v>43101</v>
      </c>
      <c r="E14" s="86">
        <v>0.02</v>
      </c>
      <c r="G14" s="84" t="s">
        <v>16</v>
      </c>
      <c r="H14" s="84" t="s">
        <v>36</v>
      </c>
      <c r="I14" s="85">
        <v>43101</v>
      </c>
      <c r="J14" s="86">
        <v>0.02</v>
      </c>
    </row>
    <row r="15" spans="2:10" x14ac:dyDescent="0.25">
      <c r="B15" s="84" t="s">
        <v>16</v>
      </c>
      <c r="C15" s="84" t="s">
        <v>35</v>
      </c>
      <c r="D15" s="85">
        <v>43466</v>
      </c>
      <c r="E15" s="86">
        <v>0.05</v>
      </c>
      <c r="G15" s="84" t="s">
        <v>16</v>
      </c>
      <c r="H15" s="84" t="s">
        <v>36</v>
      </c>
      <c r="I15" s="85">
        <v>43466</v>
      </c>
      <c r="J15" s="86">
        <v>0.05</v>
      </c>
    </row>
    <row r="16" spans="2:10" x14ac:dyDescent="0.25">
      <c r="B16" s="84" t="s">
        <v>16</v>
      </c>
      <c r="C16" s="84" t="s">
        <v>35</v>
      </c>
      <c r="D16" s="85">
        <v>43831</v>
      </c>
      <c r="E16" s="86">
        <v>0.02</v>
      </c>
      <c r="G16" s="84" t="s">
        <v>16</v>
      </c>
      <c r="H16" s="84" t="s">
        <v>36</v>
      </c>
      <c r="I16" s="85">
        <v>43831</v>
      </c>
      <c r="J16" s="86">
        <v>0.02</v>
      </c>
    </row>
    <row r="17" spans="2:10" x14ac:dyDescent="0.25">
      <c r="B17" s="84" t="s">
        <v>16</v>
      </c>
      <c r="C17" s="84" t="s">
        <v>35</v>
      </c>
      <c r="D17" s="85">
        <v>44197</v>
      </c>
      <c r="E17" s="86">
        <v>0.05</v>
      </c>
      <c r="G17" s="84" t="s">
        <v>16</v>
      </c>
      <c r="H17" s="84" t="s">
        <v>36</v>
      </c>
      <c r="I17" s="85">
        <v>44197</v>
      </c>
      <c r="J17" s="86">
        <v>0.05</v>
      </c>
    </row>
    <row r="18" spans="2:10" x14ac:dyDescent="0.25">
      <c r="B18" s="84" t="s">
        <v>16</v>
      </c>
      <c r="C18" s="84" t="s">
        <v>35</v>
      </c>
      <c r="D18" s="85">
        <v>44562</v>
      </c>
      <c r="E18" s="86">
        <v>0.02</v>
      </c>
      <c r="G18" s="84" t="s">
        <v>16</v>
      </c>
      <c r="H18" s="84" t="s">
        <v>36</v>
      </c>
      <c r="I18" s="85">
        <v>44562</v>
      </c>
      <c r="J18" s="86">
        <v>0.02</v>
      </c>
    </row>
    <row r="19" spans="2:10" x14ac:dyDescent="0.25">
      <c r="B19" s="89" t="s">
        <v>16</v>
      </c>
      <c r="C19" s="89" t="s">
        <v>35</v>
      </c>
      <c r="D19" s="90">
        <v>44927</v>
      </c>
      <c r="E19" s="92">
        <v>0.05</v>
      </c>
      <c r="G19" s="89" t="s">
        <v>16</v>
      </c>
      <c r="H19" s="89" t="s">
        <v>36</v>
      </c>
      <c r="I19" s="90">
        <v>44927</v>
      </c>
      <c r="J19" s="92">
        <v>0.05</v>
      </c>
    </row>
    <row r="20" spans="2:10" x14ac:dyDescent="0.25">
      <c r="B20" s="87" t="s">
        <v>60</v>
      </c>
      <c r="C20" s="87" t="s">
        <v>35</v>
      </c>
      <c r="D20" s="88">
        <v>39448</v>
      </c>
      <c r="E20" s="91">
        <v>0.01</v>
      </c>
      <c r="G20" s="87" t="s">
        <v>60</v>
      </c>
      <c r="H20" s="87" t="s">
        <v>36</v>
      </c>
      <c r="I20" s="88">
        <v>39448</v>
      </c>
      <c r="J20" s="91">
        <v>0.01</v>
      </c>
    </row>
    <row r="21" spans="2:10" x14ac:dyDescent="0.25">
      <c r="B21" s="84" t="s">
        <v>60</v>
      </c>
      <c r="C21" s="84" t="s">
        <v>35</v>
      </c>
      <c r="D21" s="85">
        <v>39814</v>
      </c>
      <c r="E21" s="86">
        <v>0.03</v>
      </c>
      <c r="G21" s="84" t="s">
        <v>60</v>
      </c>
      <c r="H21" s="84" t="s">
        <v>36</v>
      </c>
      <c r="I21" s="85">
        <v>39814</v>
      </c>
      <c r="J21" s="86">
        <v>0.03</v>
      </c>
    </row>
    <row r="22" spans="2:10" x14ac:dyDescent="0.25">
      <c r="B22" s="84" t="s">
        <v>60</v>
      </c>
      <c r="C22" s="84" t="s">
        <v>35</v>
      </c>
      <c r="D22" s="85">
        <v>40179</v>
      </c>
      <c r="E22" s="86">
        <v>0.01</v>
      </c>
      <c r="G22" s="84" t="s">
        <v>60</v>
      </c>
      <c r="H22" s="84" t="s">
        <v>36</v>
      </c>
      <c r="I22" s="85">
        <v>40179</v>
      </c>
      <c r="J22" s="86">
        <v>0.01</v>
      </c>
    </row>
    <row r="23" spans="2:10" x14ac:dyDescent="0.25">
      <c r="B23" s="84" t="s">
        <v>60</v>
      </c>
      <c r="C23" s="84" t="s">
        <v>35</v>
      </c>
      <c r="D23" s="85">
        <v>40544</v>
      </c>
      <c r="E23" s="86">
        <v>0.03</v>
      </c>
      <c r="G23" s="84" t="s">
        <v>60</v>
      </c>
      <c r="H23" s="84" t="s">
        <v>36</v>
      </c>
      <c r="I23" s="85">
        <v>40544</v>
      </c>
      <c r="J23" s="86">
        <v>0.03</v>
      </c>
    </row>
    <row r="24" spans="2:10" x14ac:dyDescent="0.25">
      <c r="B24" s="84" t="s">
        <v>60</v>
      </c>
      <c r="C24" s="84" t="s">
        <v>35</v>
      </c>
      <c r="D24" s="85">
        <v>40909</v>
      </c>
      <c r="E24" s="86">
        <v>0.01</v>
      </c>
      <c r="G24" s="84" t="s">
        <v>60</v>
      </c>
      <c r="H24" s="84" t="s">
        <v>36</v>
      </c>
      <c r="I24" s="85">
        <v>40909</v>
      </c>
      <c r="J24" s="86">
        <v>0.01</v>
      </c>
    </row>
    <row r="25" spans="2:10" x14ac:dyDescent="0.25">
      <c r="B25" s="84" t="s">
        <v>60</v>
      </c>
      <c r="C25" s="84" t="s">
        <v>35</v>
      </c>
      <c r="D25" s="85">
        <v>41275</v>
      </c>
      <c r="E25" s="86">
        <v>0.03</v>
      </c>
      <c r="G25" s="84" t="s">
        <v>60</v>
      </c>
      <c r="H25" s="84" t="s">
        <v>36</v>
      </c>
      <c r="I25" s="85">
        <v>41275</v>
      </c>
      <c r="J25" s="86">
        <v>0.03</v>
      </c>
    </row>
    <row r="26" spans="2:10" x14ac:dyDescent="0.25">
      <c r="B26" s="84" t="s">
        <v>60</v>
      </c>
      <c r="C26" s="84" t="s">
        <v>35</v>
      </c>
      <c r="D26" s="85">
        <v>41640</v>
      </c>
      <c r="E26" s="86">
        <v>0.01</v>
      </c>
      <c r="G26" s="84" t="s">
        <v>60</v>
      </c>
      <c r="H26" s="84" t="s">
        <v>36</v>
      </c>
      <c r="I26" s="85">
        <v>41640</v>
      </c>
      <c r="J26" s="86">
        <v>0.01</v>
      </c>
    </row>
    <row r="27" spans="2:10" x14ac:dyDescent="0.25">
      <c r="B27" s="84" t="s">
        <v>60</v>
      </c>
      <c r="C27" s="84" t="s">
        <v>35</v>
      </c>
      <c r="D27" s="85">
        <v>42005</v>
      </c>
      <c r="E27" s="86">
        <v>0.03</v>
      </c>
      <c r="G27" s="84" t="s">
        <v>60</v>
      </c>
      <c r="H27" s="84" t="s">
        <v>36</v>
      </c>
      <c r="I27" s="85">
        <v>42005</v>
      </c>
      <c r="J27" s="86">
        <v>0.03</v>
      </c>
    </row>
    <row r="28" spans="2:10" x14ac:dyDescent="0.25">
      <c r="B28" s="84" t="s">
        <v>60</v>
      </c>
      <c r="C28" s="84" t="s">
        <v>35</v>
      </c>
      <c r="D28" s="85">
        <v>42370</v>
      </c>
      <c r="E28" s="86">
        <v>0.01</v>
      </c>
      <c r="G28" s="84" t="s">
        <v>60</v>
      </c>
      <c r="H28" s="84" t="s">
        <v>36</v>
      </c>
      <c r="I28" s="85">
        <v>42370</v>
      </c>
      <c r="J28" s="86">
        <v>0.01</v>
      </c>
    </row>
    <row r="29" spans="2:10" x14ac:dyDescent="0.25">
      <c r="B29" s="84" t="s">
        <v>60</v>
      </c>
      <c r="C29" s="84" t="s">
        <v>35</v>
      </c>
      <c r="D29" s="85">
        <v>42736</v>
      </c>
      <c r="E29" s="86">
        <v>0.03</v>
      </c>
      <c r="G29" s="84" t="s">
        <v>60</v>
      </c>
      <c r="H29" s="84" t="s">
        <v>36</v>
      </c>
      <c r="I29" s="85">
        <v>42736</v>
      </c>
      <c r="J29" s="86">
        <v>0.03</v>
      </c>
    </row>
    <row r="30" spans="2:10" x14ac:dyDescent="0.25">
      <c r="B30" s="84" t="s">
        <v>60</v>
      </c>
      <c r="C30" s="84" t="s">
        <v>35</v>
      </c>
      <c r="D30" s="85">
        <v>43101</v>
      </c>
      <c r="E30" s="86">
        <v>0.01</v>
      </c>
      <c r="G30" s="84" t="s">
        <v>60</v>
      </c>
      <c r="H30" s="84" t="s">
        <v>36</v>
      </c>
      <c r="I30" s="85">
        <v>43101</v>
      </c>
      <c r="J30" s="86">
        <v>0.01</v>
      </c>
    </row>
    <row r="31" spans="2:10" x14ac:dyDescent="0.25">
      <c r="B31" s="84" t="s">
        <v>60</v>
      </c>
      <c r="C31" s="84" t="s">
        <v>35</v>
      </c>
      <c r="D31" s="85">
        <v>43466</v>
      </c>
      <c r="E31" s="86">
        <v>0.03</v>
      </c>
      <c r="G31" s="84" t="s">
        <v>60</v>
      </c>
      <c r="H31" s="84" t="s">
        <v>36</v>
      </c>
      <c r="I31" s="85">
        <v>43466</v>
      </c>
      <c r="J31" s="86">
        <v>0.03</v>
      </c>
    </row>
    <row r="32" spans="2:10" x14ac:dyDescent="0.25">
      <c r="B32" s="84" t="s">
        <v>60</v>
      </c>
      <c r="C32" s="84" t="s">
        <v>35</v>
      </c>
      <c r="D32" s="85">
        <v>43831</v>
      </c>
      <c r="E32" s="86">
        <v>0.01</v>
      </c>
      <c r="G32" s="84" t="s">
        <v>60</v>
      </c>
      <c r="H32" s="84" t="s">
        <v>36</v>
      </c>
      <c r="I32" s="85">
        <v>43831</v>
      </c>
      <c r="J32" s="86">
        <v>0.01</v>
      </c>
    </row>
    <row r="33" spans="2:10" x14ac:dyDescent="0.25">
      <c r="B33" s="84" t="s">
        <v>60</v>
      </c>
      <c r="C33" s="84" t="s">
        <v>35</v>
      </c>
      <c r="D33" s="85">
        <v>44197</v>
      </c>
      <c r="E33" s="86">
        <v>0.03</v>
      </c>
      <c r="G33" s="84" t="s">
        <v>60</v>
      </c>
      <c r="H33" s="84" t="s">
        <v>36</v>
      </c>
      <c r="I33" s="85">
        <v>44197</v>
      </c>
      <c r="J33" s="86">
        <v>0.03</v>
      </c>
    </row>
    <row r="34" spans="2:10" x14ac:dyDescent="0.25">
      <c r="B34" s="84" t="s">
        <v>60</v>
      </c>
      <c r="C34" s="84" t="s">
        <v>35</v>
      </c>
      <c r="D34" s="85">
        <v>44562</v>
      </c>
      <c r="E34" s="86">
        <v>0.01</v>
      </c>
      <c r="G34" s="84" t="s">
        <v>60</v>
      </c>
      <c r="H34" s="84" t="s">
        <v>36</v>
      </c>
      <c r="I34" s="85">
        <v>44562</v>
      </c>
      <c r="J34" s="86">
        <v>0.01</v>
      </c>
    </row>
    <row r="35" spans="2:10" x14ac:dyDescent="0.25">
      <c r="B35" s="89" t="s">
        <v>60</v>
      </c>
      <c r="C35" s="89" t="s">
        <v>35</v>
      </c>
      <c r="D35" s="90">
        <v>44927</v>
      </c>
      <c r="E35" s="92">
        <v>0.03</v>
      </c>
      <c r="G35" s="89" t="s">
        <v>60</v>
      </c>
      <c r="H35" s="89" t="s">
        <v>36</v>
      </c>
      <c r="I35" s="90">
        <v>44927</v>
      </c>
      <c r="J35" s="92">
        <v>0.03</v>
      </c>
    </row>
    <row r="36" spans="2:10" x14ac:dyDescent="0.25">
      <c r="B36" s="84" t="s">
        <v>52</v>
      </c>
      <c r="C36" s="84" t="s">
        <v>35</v>
      </c>
      <c r="D36" s="85">
        <v>39448</v>
      </c>
      <c r="E36" s="86">
        <v>0.02</v>
      </c>
      <c r="G36" s="87" t="s">
        <v>52</v>
      </c>
      <c r="H36" s="87" t="s">
        <v>36</v>
      </c>
      <c r="I36" s="88">
        <v>39448</v>
      </c>
      <c r="J36" s="86">
        <v>0.02</v>
      </c>
    </row>
    <row r="37" spans="2:10" x14ac:dyDescent="0.25">
      <c r="B37" s="84" t="s">
        <v>52</v>
      </c>
      <c r="C37" s="84" t="s">
        <v>35</v>
      </c>
      <c r="D37" s="85">
        <v>39814</v>
      </c>
      <c r="E37" s="86">
        <v>0.03</v>
      </c>
      <c r="G37" s="84" t="s">
        <v>52</v>
      </c>
      <c r="H37" s="84" t="s">
        <v>36</v>
      </c>
      <c r="I37" s="85">
        <v>39814</v>
      </c>
      <c r="J37" s="86">
        <v>0.03</v>
      </c>
    </row>
    <row r="38" spans="2:10" x14ac:dyDescent="0.25">
      <c r="B38" s="84" t="s">
        <v>52</v>
      </c>
      <c r="C38" s="84" t="s">
        <v>35</v>
      </c>
      <c r="D38" s="85">
        <v>40179</v>
      </c>
      <c r="E38" s="86">
        <v>0.02</v>
      </c>
      <c r="G38" s="84" t="s">
        <v>52</v>
      </c>
      <c r="H38" s="84" t="s">
        <v>36</v>
      </c>
      <c r="I38" s="85">
        <v>40179</v>
      </c>
      <c r="J38" s="86">
        <v>0.02</v>
      </c>
    </row>
    <row r="39" spans="2:10" x14ac:dyDescent="0.25">
      <c r="B39" s="84" t="s">
        <v>52</v>
      </c>
      <c r="C39" s="84" t="s">
        <v>35</v>
      </c>
      <c r="D39" s="85">
        <v>40544</v>
      </c>
      <c r="E39" s="86">
        <v>0.03</v>
      </c>
      <c r="G39" s="84" t="s">
        <v>52</v>
      </c>
      <c r="H39" s="84" t="s">
        <v>36</v>
      </c>
      <c r="I39" s="85">
        <v>40544</v>
      </c>
      <c r="J39" s="86">
        <v>0.03</v>
      </c>
    </row>
    <row r="40" spans="2:10" x14ac:dyDescent="0.25">
      <c r="B40" s="84" t="s">
        <v>52</v>
      </c>
      <c r="C40" s="84" t="s">
        <v>35</v>
      </c>
      <c r="D40" s="85">
        <v>40909</v>
      </c>
      <c r="E40" s="86">
        <v>0.02</v>
      </c>
      <c r="G40" s="84" t="s">
        <v>52</v>
      </c>
      <c r="H40" s="84" t="s">
        <v>36</v>
      </c>
      <c r="I40" s="85">
        <v>40909</v>
      </c>
      <c r="J40" s="86">
        <v>0.02</v>
      </c>
    </row>
    <row r="41" spans="2:10" x14ac:dyDescent="0.25">
      <c r="B41" s="84" t="s">
        <v>52</v>
      </c>
      <c r="C41" s="84" t="s">
        <v>35</v>
      </c>
      <c r="D41" s="85">
        <v>41275</v>
      </c>
      <c r="E41" s="86">
        <v>0.03</v>
      </c>
      <c r="G41" s="84" t="s">
        <v>52</v>
      </c>
      <c r="H41" s="84" t="s">
        <v>36</v>
      </c>
      <c r="I41" s="85">
        <v>41275</v>
      </c>
      <c r="J41" s="86">
        <v>0.03</v>
      </c>
    </row>
    <row r="42" spans="2:10" x14ac:dyDescent="0.25">
      <c r="B42" s="84" t="s">
        <v>52</v>
      </c>
      <c r="C42" s="84" t="s">
        <v>35</v>
      </c>
      <c r="D42" s="85">
        <v>41640</v>
      </c>
      <c r="E42" s="86">
        <v>0.02</v>
      </c>
      <c r="G42" s="84" t="s">
        <v>52</v>
      </c>
      <c r="H42" s="84" t="s">
        <v>36</v>
      </c>
      <c r="I42" s="85">
        <v>41640</v>
      </c>
      <c r="J42" s="86">
        <v>0.02</v>
      </c>
    </row>
    <row r="43" spans="2:10" x14ac:dyDescent="0.25">
      <c r="B43" s="84" t="s">
        <v>52</v>
      </c>
      <c r="C43" s="84" t="s">
        <v>35</v>
      </c>
      <c r="D43" s="85">
        <v>42005</v>
      </c>
      <c r="E43" s="86">
        <v>0.03</v>
      </c>
      <c r="G43" s="84" t="s">
        <v>52</v>
      </c>
      <c r="H43" s="84" t="s">
        <v>36</v>
      </c>
      <c r="I43" s="85">
        <v>42005</v>
      </c>
      <c r="J43" s="86">
        <v>0.03</v>
      </c>
    </row>
    <row r="44" spans="2:10" x14ac:dyDescent="0.25">
      <c r="B44" s="84" t="s">
        <v>52</v>
      </c>
      <c r="C44" s="84" t="s">
        <v>35</v>
      </c>
      <c r="D44" s="85">
        <v>42370</v>
      </c>
      <c r="E44" s="86">
        <v>0.02</v>
      </c>
      <c r="G44" s="84" t="s">
        <v>52</v>
      </c>
      <c r="H44" s="84" t="s">
        <v>36</v>
      </c>
      <c r="I44" s="85">
        <v>42370</v>
      </c>
      <c r="J44" s="86">
        <v>0.02</v>
      </c>
    </row>
    <row r="45" spans="2:10" x14ac:dyDescent="0.25">
      <c r="B45" s="84" t="s">
        <v>52</v>
      </c>
      <c r="C45" s="84" t="s">
        <v>35</v>
      </c>
      <c r="D45" s="85">
        <v>42736</v>
      </c>
      <c r="E45" s="86">
        <v>0.03</v>
      </c>
      <c r="G45" s="84" t="s">
        <v>52</v>
      </c>
      <c r="H45" s="84" t="s">
        <v>36</v>
      </c>
      <c r="I45" s="85">
        <v>42736</v>
      </c>
      <c r="J45" s="86">
        <v>0.03</v>
      </c>
    </row>
    <row r="46" spans="2:10" x14ac:dyDescent="0.25">
      <c r="B46" s="84" t="s">
        <v>52</v>
      </c>
      <c r="C46" s="84" t="s">
        <v>35</v>
      </c>
      <c r="D46" s="85">
        <v>43101</v>
      </c>
      <c r="E46" s="86">
        <v>0.02</v>
      </c>
      <c r="G46" s="84" t="s">
        <v>52</v>
      </c>
      <c r="H46" s="84" t="s">
        <v>36</v>
      </c>
      <c r="I46" s="85">
        <v>43101</v>
      </c>
      <c r="J46" s="86">
        <v>0.02</v>
      </c>
    </row>
    <row r="47" spans="2:10" x14ac:dyDescent="0.25">
      <c r="B47" s="84" t="s">
        <v>52</v>
      </c>
      <c r="C47" s="84" t="s">
        <v>35</v>
      </c>
      <c r="D47" s="85">
        <v>43466</v>
      </c>
      <c r="E47" s="86">
        <v>0.03</v>
      </c>
      <c r="G47" s="84" t="s">
        <v>52</v>
      </c>
      <c r="H47" s="84" t="s">
        <v>36</v>
      </c>
      <c r="I47" s="85">
        <v>43466</v>
      </c>
      <c r="J47" s="86">
        <v>0.03</v>
      </c>
    </row>
    <row r="48" spans="2:10" x14ac:dyDescent="0.25">
      <c r="B48" s="84" t="s">
        <v>52</v>
      </c>
      <c r="C48" s="84" t="s">
        <v>35</v>
      </c>
      <c r="D48" s="85">
        <v>43831</v>
      </c>
      <c r="E48" s="86">
        <v>0.02</v>
      </c>
      <c r="G48" s="84" t="s">
        <v>52</v>
      </c>
      <c r="H48" s="84" t="s">
        <v>36</v>
      </c>
      <c r="I48" s="85">
        <v>43831</v>
      </c>
      <c r="J48" s="86">
        <v>0.02</v>
      </c>
    </row>
    <row r="49" spans="2:10" x14ac:dyDescent="0.25">
      <c r="B49" s="84" t="s">
        <v>52</v>
      </c>
      <c r="C49" s="84" t="s">
        <v>35</v>
      </c>
      <c r="D49" s="85">
        <v>44197</v>
      </c>
      <c r="E49" s="86">
        <v>0.03</v>
      </c>
      <c r="G49" s="84" t="s">
        <v>52</v>
      </c>
      <c r="H49" s="84" t="s">
        <v>36</v>
      </c>
      <c r="I49" s="85">
        <v>44197</v>
      </c>
      <c r="J49" s="86">
        <v>0.03</v>
      </c>
    </row>
    <row r="50" spans="2:10" x14ac:dyDescent="0.25">
      <c r="B50" s="84" t="s">
        <v>52</v>
      </c>
      <c r="C50" s="84" t="s">
        <v>35</v>
      </c>
      <c r="D50" s="85">
        <v>44562</v>
      </c>
      <c r="E50" s="86">
        <v>0.02</v>
      </c>
      <c r="G50" s="84" t="s">
        <v>52</v>
      </c>
      <c r="H50" s="84" t="s">
        <v>36</v>
      </c>
      <c r="I50" s="85">
        <v>44562</v>
      </c>
      <c r="J50" s="86">
        <v>0.02</v>
      </c>
    </row>
    <row r="51" spans="2:10" x14ac:dyDescent="0.25">
      <c r="B51" s="89" t="s">
        <v>52</v>
      </c>
      <c r="C51" s="89" t="s">
        <v>35</v>
      </c>
      <c r="D51" s="90">
        <v>44927</v>
      </c>
      <c r="E51" s="92">
        <v>0.03</v>
      </c>
      <c r="G51" s="89" t="s">
        <v>52</v>
      </c>
      <c r="H51" s="89" t="s">
        <v>36</v>
      </c>
      <c r="I51" s="90">
        <v>44927</v>
      </c>
      <c r="J51" s="92">
        <v>0.03</v>
      </c>
    </row>
  </sheetData>
  <pageMargins left="0.25" right="0.25" top="0.75" bottom="0.75" header="0.3" footer="0.3"/>
  <pageSetup scale="68" orientation="landscape" r:id="rId1"/>
  <headerFooter>
    <oddHeader>&amp;CBattleBots Extreme Pricing Challenge 2023 - Submission</oddHeader>
    <oddFooter>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BEAC-72D9-4D72-9E4D-0DEB063B7061}">
  <sheetPr>
    <pageSetUpPr fitToPage="1"/>
  </sheetPr>
  <dimension ref="B1:C13"/>
  <sheetViews>
    <sheetView showGridLines="0" workbookViewId="0"/>
  </sheetViews>
  <sheetFormatPr defaultRowHeight="15" x14ac:dyDescent="0.25"/>
  <cols>
    <col min="1" max="1" width="2.85546875" customWidth="1"/>
    <col min="2" max="2" width="21.140625" customWidth="1"/>
    <col min="3" max="3" width="19.5703125" customWidth="1"/>
  </cols>
  <sheetData>
    <row r="1" spans="2:3" x14ac:dyDescent="0.25">
      <c r="B1" s="152" t="s">
        <v>92</v>
      </c>
      <c r="C1" s="152"/>
    </row>
    <row r="3" spans="2:3" x14ac:dyDescent="0.25">
      <c r="B3" s="78" t="s">
        <v>34</v>
      </c>
      <c r="C3" s="59" t="s">
        <v>56</v>
      </c>
    </row>
    <row r="4" spans="2:3" x14ac:dyDescent="0.25">
      <c r="B4" s="80" t="s">
        <v>31</v>
      </c>
      <c r="C4" s="99">
        <v>100000</v>
      </c>
    </row>
    <row r="5" spans="2:3" x14ac:dyDescent="0.25">
      <c r="B5" s="33" t="s">
        <v>16</v>
      </c>
      <c r="C5" s="36">
        <v>40000</v>
      </c>
    </row>
    <row r="6" spans="2:3" x14ac:dyDescent="0.25">
      <c r="B6" s="33" t="s">
        <v>60</v>
      </c>
      <c r="C6" s="36">
        <v>30000</v>
      </c>
    </row>
    <row r="7" spans="2:3" x14ac:dyDescent="0.25">
      <c r="B7" s="33" t="s">
        <v>52</v>
      </c>
      <c r="C7" s="36">
        <v>30000</v>
      </c>
    </row>
    <row r="8" spans="2:3" x14ac:dyDescent="0.25">
      <c r="B8" s="37" t="s">
        <v>53</v>
      </c>
      <c r="C8" s="39">
        <v>0</v>
      </c>
    </row>
    <row r="13" spans="2:3" x14ac:dyDescent="0.25">
      <c r="C13" s="1"/>
    </row>
  </sheetData>
  <pageMargins left="0.25" right="0.25" top="0.75" bottom="0.75" header="0.3" footer="0.3"/>
  <pageSetup orientation="landscape" r:id="rId1"/>
  <headerFooter>
    <oddHeader>&amp;CBattleBots Extreme Pricing Challenge 2023 - Submission</oddHeader>
    <oddFooter>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A5C2-AFAC-4191-AB89-E27F1F30205F}">
  <sheetPr>
    <pageSetUpPr fitToPage="1"/>
  </sheetPr>
  <dimension ref="B1:E8"/>
  <sheetViews>
    <sheetView showGridLines="0" workbookViewId="0"/>
  </sheetViews>
  <sheetFormatPr defaultRowHeight="15" x14ac:dyDescent="0.25"/>
  <cols>
    <col min="1" max="1" width="2.5703125" customWidth="1"/>
    <col min="2" max="2" width="21.28515625" customWidth="1"/>
    <col min="3" max="3" width="14.28515625" bestFit="1" customWidth="1"/>
    <col min="4" max="4" width="21.42578125" bestFit="1" customWidth="1"/>
    <col min="5" max="5" width="18.5703125" bestFit="1" customWidth="1"/>
  </cols>
  <sheetData>
    <row r="1" spans="2:5" x14ac:dyDescent="0.25">
      <c r="B1" s="152" t="s">
        <v>91</v>
      </c>
      <c r="C1" s="151"/>
      <c r="D1" s="151"/>
      <c r="E1" s="151"/>
    </row>
    <row r="3" spans="2:5" x14ac:dyDescent="0.25">
      <c r="B3" s="78" t="s">
        <v>34</v>
      </c>
      <c r="C3" s="58" t="s">
        <v>30</v>
      </c>
      <c r="D3" s="58" t="s">
        <v>54</v>
      </c>
      <c r="E3" s="59" t="s">
        <v>55</v>
      </c>
    </row>
    <row r="4" spans="2:5" x14ac:dyDescent="0.25">
      <c r="B4" s="80" t="s">
        <v>31</v>
      </c>
      <c r="C4" s="62">
        <v>100000</v>
      </c>
      <c r="D4" s="62">
        <f>SUM(D5:D8)</f>
        <v>44500000</v>
      </c>
      <c r="E4" s="63">
        <f>D4/C4*1000</f>
        <v>445000</v>
      </c>
    </row>
    <row r="5" spans="2:5" x14ac:dyDescent="0.25">
      <c r="B5" s="76" t="s">
        <v>16</v>
      </c>
      <c r="C5" s="35">
        <v>40000</v>
      </c>
      <c r="D5" s="35">
        <f>E5*C5/1000</f>
        <v>22000000</v>
      </c>
      <c r="E5" s="36">
        <v>550000</v>
      </c>
    </row>
    <row r="6" spans="2:5" x14ac:dyDescent="0.25">
      <c r="B6" s="76" t="s">
        <v>60</v>
      </c>
      <c r="C6" s="35">
        <v>30000</v>
      </c>
      <c r="D6" s="35">
        <f>E6*C6/1000</f>
        <v>13500000</v>
      </c>
      <c r="E6" s="36">
        <v>450000</v>
      </c>
    </row>
    <row r="7" spans="2:5" x14ac:dyDescent="0.25">
      <c r="B7" s="76" t="s">
        <v>52</v>
      </c>
      <c r="C7" s="35">
        <v>30000</v>
      </c>
      <c r="D7" s="35">
        <v>9000000</v>
      </c>
      <c r="E7" s="36">
        <v>300000</v>
      </c>
    </row>
    <row r="8" spans="2:5" x14ac:dyDescent="0.25">
      <c r="B8" s="77" t="s">
        <v>53</v>
      </c>
      <c r="C8" s="38">
        <v>0</v>
      </c>
      <c r="D8" s="38">
        <v>0</v>
      </c>
      <c r="E8" s="39">
        <v>0</v>
      </c>
    </row>
  </sheetData>
  <pageMargins left="0.25" right="0.25" top="0.75" bottom="0.75" header="0.3" footer="0.3"/>
  <pageSetup orientation="landscape" r:id="rId1"/>
  <headerFooter>
    <oddHeader>&amp;CBattleBots Extreme Pricing Challenge 2023 - Submission</oddHeader>
    <oddFooter>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0BB0-008B-4A5C-98E5-74446CB2EEF4}">
  <sheetPr>
    <pageSetUpPr fitToPage="1"/>
  </sheetPr>
  <dimension ref="B1:X55"/>
  <sheetViews>
    <sheetView showGridLines="0" workbookViewId="0"/>
  </sheetViews>
  <sheetFormatPr defaultRowHeight="15" x14ac:dyDescent="0.25"/>
  <cols>
    <col min="1" max="1" width="2.7109375" customWidth="1"/>
    <col min="2" max="9" width="14.28515625" customWidth="1"/>
    <col min="10" max="10" width="4.85546875" customWidth="1"/>
    <col min="11" max="14" width="14.28515625" customWidth="1"/>
    <col min="16" max="17" width="12.5703125" bestFit="1" customWidth="1"/>
    <col min="18" max="19" width="11.5703125" bestFit="1" customWidth="1"/>
    <col min="20" max="21" width="12.5703125" bestFit="1" customWidth="1"/>
  </cols>
  <sheetData>
    <row r="1" spans="2:24" x14ac:dyDescent="0.25">
      <c r="B1" s="152" t="s">
        <v>110</v>
      </c>
      <c r="C1" s="152"/>
      <c r="D1" s="155"/>
      <c r="E1" s="155"/>
      <c r="F1" s="155"/>
      <c r="G1" s="155"/>
      <c r="H1" s="155"/>
      <c r="I1" s="152"/>
      <c r="K1" s="152" t="s">
        <v>21</v>
      </c>
      <c r="L1" s="152"/>
      <c r="M1" s="152"/>
      <c r="N1" s="152"/>
    </row>
    <row r="3" spans="2:24" x14ac:dyDescent="0.25">
      <c r="B3" s="3" t="s">
        <v>7</v>
      </c>
      <c r="C3" s="4" t="s">
        <v>8</v>
      </c>
      <c r="D3" s="175" t="s">
        <v>64</v>
      </c>
      <c r="E3" s="176"/>
      <c r="F3" s="176"/>
      <c r="G3" s="176"/>
      <c r="H3" s="176"/>
      <c r="I3" s="177"/>
      <c r="K3" s="175" t="s">
        <v>64</v>
      </c>
      <c r="L3" s="176"/>
      <c r="M3" s="176"/>
      <c r="N3" s="177"/>
    </row>
    <row r="4" spans="2:24" x14ac:dyDescent="0.25">
      <c r="B4" s="6" t="s">
        <v>10</v>
      </c>
      <c r="C4" s="7" t="s">
        <v>11</v>
      </c>
      <c r="D4" s="6" t="s">
        <v>2</v>
      </c>
      <c r="E4" s="8" t="s">
        <v>18</v>
      </c>
      <c r="F4" s="8" t="s">
        <v>1</v>
      </c>
      <c r="G4" s="9" t="s">
        <v>3</v>
      </c>
      <c r="H4" s="9" t="s">
        <v>12</v>
      </c>
      <c r="I4" s="10" t="s">
        <v>13</v>
      </c>
      <c r="K4" s="168"/>
      <c r="L4" s="8" t="s">
        <v>58</v>
      </c>
      <c r="M4" s="8" t="s">
        <v>59</v>
      </c>
      <c r="N4" s="7" t="s">
        <v>88</v>
      </c>
    </row>
    <row r="5" spans="2:24" x14ac:dyDescent="0.25">
      <c r="B5" s="11">
        <f t="shared" ref="B5:B13" si="0">1/C5</f>
        <v>1E-3</v>
      </c>
      <c r="C5" s="12">
        <v>1000</v>
      </c>
      <c r="D5" s="13">
        <v>300000000</v>
      </c>
      <c r="E5" s="14">
        <v>125000000</v>
      </c>
      <c r="F5" s="14">
        <v>75000000</v>
      </c>
      <c r="G5" s="14">
        <v>11000000</v>
      </c>
      <c r="H5" s="14">
        <v>100000000</v>
      </c>
      <c r="I5" s="15">
        <v>330000000</v>
      </c>
      <c r="J5" s="94"/>
      <c r="K5" s="33" t="s">
        <v>103</v>
      </c>
      <c r="L5" s="52">
        <v>15000000</v>
      </c>
      <c r="M5" s="52">
        <v>30000000</v>
      </c>
      <c r="N5" s="159">
        <v>5000000</v>
      </c>
      <c r="V5" s="2"/>
      <c r="W5" s="2"/>
      <c r="X5" s="2"/>
    </row>
    <row r="6" spans="2:24" x14ac:dyDescent="0.25">
      <c r="B6" s="11">
        <f t="shared" si="0"/>
        <v>2E-3</v>
      </c>
      <c r="C6" s="16">
        <v>500</v>
      </c>
      <c r="D6" s="13">
        <v>192000000</v>
      </c>
      <c r="E6" s="14">
        <v>80000000</v>
      </c>
      <c r="F6" s="14">
        <v>48000000</v>
      </c>
      <c r="G6" s="14">
        <v>7000000</v>
      </c>
      <c r="H6" s="14">
        <v>64000000</v>
      </c>
      <c r="I6" s="15">
        <v>211000000</v>
      </c>
      <c r="J6" s="94"/>
      <c r="K6" s="33" t="s">
        <v>104</v>
      </c>
      <c r="L6" s="14">
        <f>L5</f>
        <v>15000000</v>
      </c>
      <c r="M6" s="14">
        <f>M5</f>
        <v>30000000</v>
      </c>
      <c r="N6" s="159">
        <v>10000000</v>
      </c>
      <c r="V6" s="2"/>
      <c r="W6" s="2"/>
      <c r="X6" s="2"/>
    </row>
    <row r="7" spans="2:24" x14ac:dyDescent="0.25">
      <c r="B7" s="11">
        <f t="shared" si="0"/>
        <v>4.0000000000000001E-3</v>
      </c>
      <c r="C7" s="16">
        <v>250</v>
      </c>
      <c r="D7" s="13">
        <v>165000000</v>
      </c>
      <c r="E7" s="14">
        <v>73000000</v>
      </c>
      <c r="F7" s="14">
        <v>44000000</v>
      </c>
      <c r="G7" s="14">
        <v>6000000</v>
      </c>
      <c r="H7" s="14">
        <v>58000000</v>
      </c>
      <c r="I7" s="15">
        <v>182000000</v>
      </c>
      <c r="J7" s="94"/>
      <c r="K7" s="33" t="s">
        <v>48</v>
      </c>
      <c r="L7" s="14" t="s">
        <v>105</v>
      </c>
      <c r="M7" s="14" t="s">
        <v>105</v>
      </c>
      <c r="N7" s="159" t="s">
        <v>57</v>
      </c>
      <c r="V7" s="2"/>
      <c r="W7" s="2"/>
      <c r="X7" s="2"/>
    </row>
    <row r="8" spans="2:24" x14ac:dyDescent="0.25">
      <c r="B8" s="11">
        <f t="shared" si="0"/>
        <v>5.0000000000000001E-3</v>
      </c>
      <c r="C8" s="16">
        <v>200</v>
      </c>
      <c r="D8" s="13">
        <v>132000000</v>
      </c>
      <c r="E8" s="14">
        <v>61000000</v>
      </c>
      <c r="F8" s="14">
        <v>37000000</v>
      </c>
      <c r="G8" s="14">
        <v>5000000</v>
      </c>
      <c r="H8" s="14">
        <v>49000000</v>
      </c>
      <c r="I8" s="15">
        <v>145000000</v>
      </c>
      <c r="J8" s="94"/>
      <c r="K8" s="169"/>
      <c r="L8" s="170"/>
      <c r="M8" s="170"/>
      <c r="N8" s="171"/>
      <c r="V8" s="2"/>
      <c r="W8" s="2"/>
      <c r="X8" s="2"/>
    </row>
    <row r="9" spans="2:24" x14ac:dyDescent="0.25">
      <c r="B9" s="11">
        <f t="shared" si="0"/>
        <v>6.6666666666666671E-3</v>
      </c>
      <c r="C9" s="16">
        <v>150</v>
      </c>
      <c r="D9" s="13">
        <v>90000000</v>
      </c>
      <c r="E9" s="14">
        <v>45000000</v>
      </c>
      <c r="F9" s="14">
        <v>27000000</v>
      </c>
      <c r="G9" s="14">
        <v>4000000</v>
      </c>
      <c r="H9" s="14">
        <v>36000000</v>
      </c>
      <c r="I9" s="15">
        <v>99000000</v>
      </c>
      <c r="J9" s="94"/>
      <c r="K9" s="33" t="s">
        <v>106</v>
      </c>
      <c r="L9" s="14">
        <v>0</v>
      </c>
      <c r="M9" s="14">
        <v>0</v>
      </c>
      <c r="N9" s="159">
        <v>20000000</v>
      </c>
      <c r="V9" s="2"/>
      <c r="W9" s="2"/>
      <c r="X9" s="2"/>
    </row>
    <row r="10" spans="2:24" x14ac:dyDescent="0.25">
      <c r="B10" s="11">
        <f t="shared" si="0"/>
        <v>0.01</v>
      </c>
      <c r="C10" s="16">
        <v>100</v>
      </c>
      <c r="D10" s="13">
        <v>63000000</v>
      </c>
      <c r="E10" s="14">
        <v>38000000</v>
      </c>
      <c r="F10" s="14">
        <v>23000000</v>
      </c>
      <c r="G10" s="14">
        <v>3000000</v>
      </c>
      <c r="H10" s="14">
        <v>30000000</v>
      </c>
      <c r="I10" s="15">
        <v>69000000</v>
      </c>
      <c r="J10" s="94"/>
      <c r="K10" s="33" t="s">
        <v>107</v>
      </c>
      <c r="L10" s="14">
        <f>L6*2</f>
        <v>30000000</v>
      </c>
      <c r="M10" s="14">
        <f>M6*2</f>
        <v>60000000</v>
      </c>
      <c r="N10" s="159">
        <v>50000000</v>
      </c>
      <c r="V10" s="2"/>
      <c r="W10" s="2"/>
      <c r="X10" s="2"/>
    </row>
    <row r="11" spans="2:24" x14ac:dyDescent="0.25">
      <c r="B11" s="11">
        <f t="shared" si="0"/>
        <v>0.02</v>
      </c>
      <c r="C11" s="16">
        <v>50</v>
      </c>
      <c r="D11" s="13">
        <v>45000000</v>
      </c>
      <c r="E11" s="14">
        <v>31000000</v>
      </c>
      <c r="F11" s="14">
        <v>19000000</v>
      </c>
      <c r="G11" s="14">
        <v>3000000</v>
      </c>
      <c r="H11" s="14">
        <v>25000000</v>
      </c>
      <c r="I11" s="15">
        <v>50000000</v>
      </c>
      <c r="J11" s="94"/>
      <c r="K11" s="169"/>
      <c r="L11" s="172"/>
      <c r="M11" s="173"/>
      <c r="N11" s="174"/>
      <c r="V11" s="2"/>
      <c r="W11" s="2"/>
      <c r="X11" s="2"/>
    </row>
    <row r="12" spans="2:24" ht="15.75" x14ac:dyDescent="0.25">
      <c r="B12" s="11">
        <f t="shared" si="0"/>
        <v>0.04</v>
      </c>
      <c r="C12" s="16">
        <v>25</v>
      </c>
      <c r="D12" s="13">
        <v>21000000</v>
      </c>
      <c r="E12" s="14">
        <v>21000000</v>
      </c>
      <c r="F12" s="14">
        <v>16000000</v>
      </c>
      <c r="G12" s="14">
        <v>2000000</v>
      </c>
      <c r="H12" s="14">
        <v>22000000</v>
      </c>
      <c r="I12" s="15">
        <v>23000000</v>
      </c>
      <c r="J12" s="94"/>
      <c r="K12" s="179" t="s">
        <v>6</v>
      </c>
      <c r="L12" s="180">
        <f t="array" ref="L12:N12">TRANSPOSE($I$17:$I$19)</f>
        <v>3500000</v>
      </c>
      <c r="M12" s="180">
        <v>2600000</v>
      </c>
      <c r="N12" s="181">
        <v>2400000</v>
      </c>
      <c r="V12" s="2"/>
      <c r="W12" s="2"/>
      <c r="X12" s="2"/>
    </row>
    <row r="13" spans="2:24" x14ac:dyDescent="0.25">
      <c r="B13" s="11">
        <f t="shared" si="0"/>
        <v>0.1</v>
      </c>
      <c r="C13" s="17">
        <v>10</v>
      </c>
      <c r="D13" s="13">
        <v>12000000</v>
      </c>
      <c r="E13" s="14">
        <v>0</v>
      </c>
      <c r="F13" s="14">
        <v>12000000</v>
      </c>
      <c r="G13" s="14">
        <v>0</v>
      </c>
      <c r="H13" s="14">
        <v>9000000</v>
      </c>
      <c r="I13" s="15">
        <v>13000000</v>
      </c>
      <c r="J13" s="94"/>
      <c r="V13" s="2"/>
      <c r="W13" s="2"/>
      <c r="X13" s="2"/>
    </row>
    <row r="14" spans="2:24" x14ac:dyDescent="0.25">
      <c r="B14" s="18" t="s">
        <v>14</v>
      </c>
      <c r="C14" s="19"/>
      <c r="D14" s="20">
        <v>10900000</v>
      </c>
      <c r="E14" s="21">
        <v>3900000</v>
      </c>
      <c r="F14" s="21">
        <v>6000000</v>
      </c>
      <c r="G14" s="21">
        <v>800000</v>
      </c>
      <c r="H14" s="21">
        <v>9400000</v>
      </c>
      <c r="I14" s="22">
        <v>31000000</v>
      </c>
      <c r="J14" s="2"/>
    </row>
    <row r="15" spans="2:24" x14ac:dyDescent="0.25">
      <c r="B15" s="23" t="s">
        <v>15</v>
      </c>
      <c r="C15" s="24"/>
      <c r="D15" s="13">
        <v>29500000</v>
      </c>
      <c r="E15" s="14">
        <v>15800000</v>
      </c>
      <c r="F15" s="14">
        <v>9400000</v>
      </c>
      <c r="G15" s="14">
        <v>1600000</v>
      </c>
      <c r="H15" s="14">
        <v>10000000</v>
      </c>
      <c r="I15" s="15">
        <v>73000000</v>
      </c>
      <c r="J15" s="94"/>
    </row>
    <row r="16" spans="2:24" x14ac:dyDescent="0.25">
      <c r="B16" s="25" t="s">
        <v>17</v>
      </c>
      <c r="C16" s="26"/>
      <c r="D16" s="27">
        <f t="shared" ref="D16:I16" si="1">D15/D14</f>
        <v>2.7064220183486238</v>
      </c>
      <c r="E16" s="28">
        <f t="shared" si="1"/>
        <v>4.0512820512820511</v>
      </c>
      <c r="F16" s="28">
        <f t="shared" si="1"/>
        <v>1.5666666666666667</v>
      </c>
      <c r="G16" s="28">
        <f t="shared" si="1"/>
        <v>2</v>
      </c>
      <c r="H16" s="28">
        <f t="shared" si="1"/>
        <v>1.0638297872340425</v>
      </c>
      <c r="I16" s="29">
        <f t="shared" si="1"/>
        <v>2.3548387096774195</v>
      </c>
    </row>
    <row r="17" spans="2:14" x14ac:dyDescent="0.25">
      <c r="B17" s="18" t="s">
        <v>111</v>
      </c>
      <c r="C17" s="19"/>
      <c r="D17" s="165">
        <v>2100000</v>
      </c>
      <c r="E17" s="165">
        <v>200000</v>
      </c>
      <c r="F17" s="165">
        <v>200000</v>
      </c>
      <c r="G17" s="165">
        <v>200000</v>
      </c>
      <c r="H17" s="165">
        <v>800000</v>
      </c>
      <c r="I17" s="147">
        <f>SUM(D17:H17)</f>
        <v>3500000</v>
      </c>
      <c r="J17" s="2"/>
    </row>
    <row r="18" spans="2:14" x14ac:dyDescent="0.25">
      <c r="B18" s="23" t="s">
        <v>112</v>
      </c>
      <c r="C18" s="24"/>
      <c r="D18" s="166">
        <v>1850000</v>
      </c>
      <c r="E18" s="166">
        <v>100000</v>
      </c>
      <c r="F18" s="166">
        <v>150000</v>
      </c>
      <c r="G18" s="166">
        <v>100000</v>
      </c>
      <c r="H18" s="166">
        <v>400000</v>
      </c>
      <c r="I18" s="148">
        <f t="shared" ref="I18:I19" si="2">SUM(D18:H18)</f>
        <v>2600000</v>
      </c>
      <c r="J18" s="2"/>
    </row>
    <row r="19" spans="2:14" x14ac:dyDescent="0.25">
      <c r="B19" s="25" t="s">
        <v>87</v>
      </c>
      <c r="C19" s="26"/>
      <c r="D19" s="167">
        <v>2000000</v>
      </c>
      <c r="E19" s="167">
        <v>50000</v>
      </c>
      <c r="F19" s="167">
        <v>50000</v>
      </c>
      <c r="G19" s="167">
        <v>100000</v>
      </c>
      <c r="H19" s="167">
        <v>200000</v>
      </c>
      <c r="I19" s="149">
        <f t="shared" si="2"/>
        <v>2400000</v>
      </c>
      <c r="J19" s="2"/>
    </row>
    <row r="21" spans="2:14" x14ac:dyDescent="0.25">
      <c r="B21" s="3" t="s">
        <v>7</v>
      </c>
      <c r="C21" s="4" t="s">
        <v>8</v>
      </c>
      <c r="D21" s="175" t="s">
        <v>63</v>
      </c>
      <c r="E21" s="176"/>
      <c r="F21" s="176"/>
      <c r="G21" s="176"/>
      <c r="H21" s="176"/>
      <c r="I21" s="177"/>
      <c r="J21" s="30"/>
      <c r="K21" s="175" t="s">
        <v>63</v>
      </c>
      <c r="L21" s="176"/>
      <c r="M21" s="176"/>
      <c r="N21" s="177"/>
    </row>
    <row r="22" spans="2:14" x14ac:dyDescent="0.25">
      <c r="B22" s="6" t="s">
        <v>10</v>
      </c>
      <c r="C22" s="7" t="s">
        <v>11</v>
      </c>
      <c r="D22" s="6" t="s">
        <v>2</v>
      </c>
      <c r="E22" s="8" t="s">
        <v>18</v>
      </c>
      <c r="F22" s="8" t="s">
        <v>1</v>
      </c>
      <c r="G22" s="9" t="s">
        <v>3</v>
      </c>
      <c r="H22" s="9" t="s">
        <v>12</v>
      </c>
      <c r="I22" s="10" t="s">
        <v>13</v>
      </c>
      <c r="J22" s="31"/>
      <c r="K22" s="168"/>
      <c r="L22" s="8" t="s">
        <v>58</v>
      </c>
      <c r="M22" s="8" t="s">
        <v>59</v>
      </c>
      <c r="N22" s="7" t="s">
        <v>88</v>
      </c>
    </row>
    <row r="23" spans="2:14" x14ac:dyDescent="0.25">
      <c r="B23" s="11">
        <f t="shared" ref="B23:B31" si="3">1/C23</f>
        <v>1E-3</v>
      </c>
      <c r="C23" s="12">
        <v>1000</v>
      </c>
      <c r="D23" s="13">
        <v>330000000</v>
      </c>
      <c r="E23" s="14">
        <v>135000000</v>
      </c>
      <c r="F23" s="14">
        <v>78000000</v>
      </c>
      <c r="G23" s="14">
        <v>11000000</v>
      </c>
      <c r="H23" s="14">
        <v>100000000</v>
      </c>
      <c r="I23" s="15">
        <v>323000000</v>
      </c>
      <c r="J23" s="31"/>
      <c r="K23" s="33" t="s">
        <v>103</v>
      </c>
      <c r="L23" s="52">
        <v>15000000</v>
      </c>
      <c r="M23" s="52">
        <v>30000000</v>
      </c>
      <c r="N23" s="159">
        <v>5000000</v>
      </c>
    </row>
    <row r="24" spans="2:14" x14ac:dyDescent="0.25">
      <c r="B24" s="11">
        <f t="shared" si="3"/>
        <v>2E-3</v>
      </c>
      <c r="C24" s="16">
        <v>500</v>
      </c>
      <c r="D24" s="13">
        <v>182000000</v>
      </c>
      <c r="E24" s="14">
        <v>88000000</v>
      </c>
      <c r="F24" s="14">
        <v>49000000</v>
      </c>
      <c r="G24" s="14">
        <v>7000000</v>
      </c>
      <c r="H24" s="14">
        <v>63000000</v>
      </c>
      <c r="I24" s="15">
        <v>230000000</v>
      </c>
      <c r="J24" s="32"/>
      <c r="K24" s="33" t="s">
        <v>104</v>
      </c>
      <c r="L24" s="14">
        <f>L23</f>
        <v>15000000</v>
      </c>
      <c r="M24" s="14">
        <f>M23</f>
        <v>30000000</v>
      </c>
      <c r="N24" s="159">
        <v>10000000</v>
      </c>
    </row>
    <row r="25" spans="2:14" x14ac:dyDescent="0.25">
      <c r="B25" s="11">
        <f t="shared" si="3"/>
        <v>4.0000000000000001E-3</v>
      </c>
      <c r="C25" s="16">
        <v>250</v>
      </c>
      <c r="D25" s="13">
        <v>162000000</v>
      </c>
      <c r="E25" s="14">
        <v>69000000</v>
      </c>
      <c r="F25" s="14">
        <v>47000000</v>
      </c>
      <c r="G25" s="14">
        <v>7000000</v>
      </c>
      <c r="H25" s="14">
        <v>63000000</v>
      </c>
      <c r="I25" s="15">
        <v>185000000</v>
      </c>
      <c r="J25" s="32"/>
      <c r="K25" s="33" t="s">
        <v>48</v>
      </c>
      <c r="L25" s="14" t="s">
        <v>105</v>
      </c>
      <c r="M25" s="14" t="s">
        <v>105</v>
      </c>
      <c r="N25" s="159" t="s">
        <v>57</v>
      </c>
    </row>
    <row r="26" spans="2:14" x14ac:dyDescent="0.25">
      <c r="B26" s="11">
        <f t="shared" si="3"/>
        <v>5.0000000000000001E-3</v>
      </c>
      <c r="C26" s="16">
        <v>200</v>
      </c>
      <c r="D26" s="13">
        <v>143000000</v>
      </c>
      <c r="E26" s="14">
        <v>63000000</v>
      </c>
      <c r="F26" s="14">
        <v>39000000</v>
      </c>
      <c r="G26" s="14">
        <v>6000000</v>
      </c>
      <c r="H26" s="14">
        <v>48000000</v>
      </c>
      <c r="I26" s="15">
        <v>151000000</v>
      </c>
      <c r="K26" s="169"/>
      <c r="L26" s="170"/>
      <c r="M26" s="170"/>
      <c r="N26" s="171"/>
    </row>
    <row r="27" spans="2:14" x14ac:dyDescent="0.25">
      <c r="B27" s="11">
        <f t="shared" si="3"/>
        <v>6.6666666666666671E-3</v>
      </c>
      <c r="C27" s="16">
        <v>150</v>
      </c>
      <c r="D27" s="13">
        <v>94000000</v>
      </c>
      <c r="E27" s="14">
        <v>44000000</v>
      </c>
      <c r="F27" s="14">
        <v>26000000</v>
      </c>
      <c r="G27" s="14">
        <v>4000000</v>
      </c>
      <c r="H27" s="14">
        <v>39000000</v>
      </c>
      <c r="I27" s="15">
        <v>106000000</v>
      </c>
      <c r="K27" s="33" t="s">
        <v>106</v>
      </c>
      <c r="L27" s="14">
        <v>0</v>
      </c>
      <c r="M27" s="14">
        <v>0</v>
      </c>
      <c r="N27" s="159">
        <v>20000000</v>
      </c>
    </row>
    <row r="28" spans="2:14" x14ac:dyDescent="0.25">
      <c r="B28" s="11">
        <f t="shared" si="3"/>
        <v>0.01</v>
      </c>
      <c r="C28" s="16">
        <v>100</v>
      </c>
      <c r="D28" s="13">
        <v>63000000</v>
      </c>
      <c r="E28" s="14">
        <v>39000000</v>
      </c>
      <c r="F28" s="14">
        <v>24000000</v>
      </c>
      <c r="G28" s="14">
        <v>3000000</v>
      </c>
      <c r="H28" s="14">
        <v>29000000</v>
      </c>
      <c r="I28" s="15">
        <v>76000000</v>
      </c>
      <c r="K28" s="33" t="s">
        <v>107</v>
      </c>
      <c r="L28" s="14">
        <f>L24*2</f>
        <v>30000000</v>
      </c>
      <c r="M28" s="14">
        <f>M24*2</f>
        <v>60000000</v>
      </c>
      <c r="N28" s="159">
        <v>50000000</v>
      </c>
    </row>
    <row r="29" spans="2:14" x14ac:dyDescent="0.25">
      <c r="B29" s="11">
        <f t="shared" si="3"/>
        <v>0.02</v>
      </c>
      <c r="C29" s="16">
        <v>50</v>
      </c>
      <c r="D29" s="13">
        <v>47000000</v>
      </c>
      <c r="E29" s="14">
        <v>32000000</v>
      </c>
      <c r="F29" s="14">
        <v>18000000</v>
      </c>
      <c r="G29" s="14">
        <v>3000000</v>
      </c>
      <c r="H29" s="14">
        <v>24000000</v>
      </c>
      <c r="I29" s="15">
        <v>51000000</v>
      </c>
      <c r="K29" s="169"/>
      <c r="L29" s="172"/>
      <c r="M29" s="173"/>
      <c r="N29" s="174"/>
    </row>
    <row r="30" spans="2:14" ht="15.75" x14ac:dyDescent="0.25">
      <c r="B30" s="11">
        <f t="shared" si="3"/>
        <v>0.04</v>
      </c>
      <c r="C30" s="16">
        <v>25</v>
      </c>
      <c r="D30" s="13">
        <v>20000000</v>
      </c>
      <c r="E30" s="14">
        <v>21000000</v>
      </c>
      <c r="F30" s="14">
        <v>16000000</v>
      </c>
      <c r="G30" s="14">
        <v>2000000</v>
      </c>
      <c r="H30" s="14">
        <v>23000000</v>
      </c>
      <c r="I30" s="15">
        <v>24000000</v>
      </c>
      <c r="K30" s="179" t="s">
        <v>6</v>
      </c>
      <c r="L30" s="180">
        <f t="array" ref="L30:N30">TRANSPOSE($I$35:$I$37)</f>
        <v>3700000</v>
      </c>
      <c r="M30" s="180">
        <v>2500000</v>
      </c>
      <c r="N30" s="181">
        <v>2800000</v>
      </c>
    </row>
    <row r="31" spans="2:14" x14ac:dyDescent="0.25">
      <c r="B31" s="11">
        <f t="shared" si="3"/>
        <v>0.1</v>
      </c>
      <c r="C31" s="17">
        <v>10</v>
      </c>
      <c r="D31" s="13">
        <v>12000000</v>
      </c>
      <c r="E31" s="14">
        <v>0</v>
      </c>
      <c r="F31" s="14">
        <v>12000000</v>
      </c>
      <c r="G31" s="14">
        <v>0</v>
      </c>
      <c r="H31" s="14">
        <v>9000000</v>
      </c>
      <c r="I31" s="15">
        <v>13000000</v>
      </c>
    </row>
    <row r="32" spans="2:14" x14ac:dyDescent="0.25">
      <c r="B32" s="18" t="s">
        <v>14</v>
      </c>
      <c r="C32" s="19"/>
      <c r="D32" s="20">
        <v>9900000</v>
      </c>
      <c r="E32" s="21">
        <v>6100000</v>
      </c>
      <c r="F32" s="21">
        <v>6100000</v>
      </c>
      <c r="G32" s="21">
        <v>900000</v>
      </c>
      <c r="H32" s="21">
        <v>8600000</v>
      </c>
      <c r="I32" s="22">
        <v>31600000</v>
      </c>
      <c r="J32" s="2"/>
    </row>
    <row r="33" spans="2:14" x14ac:dyDescent="0.25">
      <c r="B33" s="23" t="s">
        <v>15</v>
      </c>
      <c r="C33" s="24"/>
      <c r="D33" s="13">
        <v>19500000</v>
      </c>
      <c r="E33" s="14">
        <v>17400000</v>
      </c>
      <c r="F33" s="14">
        <v>9400000</v>
      </c>
      <c r="G33" s="14">
        <v>1600000</v>
      </c>
      <c r="H33" s="14">
        <v>10400000</v>
      </c>
      <c r="I33" s="15">
        <v>68600000</v>
      </c>
    </row>
    <row r="34" spans="2:14" x14ac:dyDescent="0.25">
      <c r="B34" s="25" t="s">
        <v>17</v>
      </c>
      <c r="C34" s="26"/>
      <c r="D34" s="27">
        <f t="shared" ref="D34:I34" si="4">D33/D32</f>
        <v>1.9696969696969697</v>
      </c>
      <c r="E34" s="28">
        <f t="shared" si="4"/>
        <v>2.8524590163934427</v>
      </c>
      <c r="F34" s="28">
        <f t="shared" si="4"/>
        <v>1.540983606557377</v>
      </c>
      <c r="G34" s="28">
        <f t="shared" si="4"/>
        <v>1.7777777777777777</v>
      </c>
      <c r="H34" s="28">
        <f t="shared" si="4"/>
        <v>1.2093023255813953</v>
      </c>
      <c r="I34" s="29">
        <f t="shared" si="4"/>
        <v>2.1708860759493671</v>
      </c>
    </row>
    <row r="35" spans="2:14" x14ac:dyDescent="0.25">
      <c r="B35" s="18" t="s">
        <v>111</v>
      </c>
      <c r="C35" s="19"/>
      <c r="D35" s="165">
        <v>2200000</v>
      </c>
      <c r="E35" s="165">
        <v>150000</v>
      </c>
      <c r="F35" s="165">
        <v>130000</v>
      </c>
      <c r="G35" s="165">
        <v>320000</v>
      </c>
      <c r="H35" s="165">
        <v>900000</v>
      </c>
      <c r="I35" s="147">
        <f>SUM(D35:H35)</f>
        <v>3700000</v>
      </c>
      <c r="J35" s="2"/>
    </row>
    <row r="36" spans="2:14" x14ac:dyDescent="0.25">
      <c r="B36" s="23" t="s">
        <v>112</v>
      </c>
      <c r="C36" s="24"/>
      <c r="D36" s="166">
        <v>1775000</v>
      </c>
      <c r="E36" s="166">
        <v>110000</v>
      </c>
      <c r="F36" s="166">
        <v>150000</v>
      </c>
      <c r="G36" s="166">
        <v>100000</v>
      </c>
      <c r="H36" s="166">
        <v>365000</v>
      </c>
      <c r="I36" s="148">
        <f t="shared" ref="I36:I37" si="5">SUM(D36:H36)</f>
        <v>2500000</v>
      </c>
      <c r="J36" s="2"/>
    </row>
    <row r="37" spans="2:14" x14ac:dyDescent="0.25">
      <c r="B37" s="25" t="s">
        <v>87</v>
      </c>
      <c r="C37" s="26"/>
      <c r="D37" s="167">
        <v>2300000</v>
      </c>
      <c r="E37" s="167">
        <v>65000</v>
      </c>
      <c r="F37" s="167">
        <v>100000</v>
      </c>
      <c r="G37" s="167">
        <v>125000</v>
      </c>
      <c r="H37" s="167">
        <v>210000</v>
      </c>
      <c r="I37" s="149">
        <f t="shared" si="5"/>
        <v>2800000</v>
      </c>
      <c r="J37" s="2"/>
    </row>
    <row r="39" spans="2:14" x14ac:dyDescent="0.25">
      <c r="B39" s="3" t="s">
        <v>7</v>
      </c>
      <c r="C39" s="4" t="s">
        <v>8</v>
      </c>
      <c r="D39" s="175" t="s">
        <v>9</v>
      </c>
      <c r="E39" s="176"/>
      <c r="F39" s="176"/>
      <c r="G39" s="176"/>
      <c r="H39" s="176"/>
      <c r="I39" s="177"/>
      <c r="K39" s="175" t="s">
        <v>9</v>
      </c>
      <c r="L39" s="176"/>
      <c r="M39" s="176"/>
      <c r="N39" s="177"/>
    </row>
    <row r="40" spans="2:14" x14ac:dyDescent="0.25">
      <c r="B40" s="6" t="s">
        <v>10</v>
      </c>
      <c r="C40" s="7" t="s">
        <v>11</v>
      </c>
      <c r="D40" s="6" t="s">
        <v>2</v>
      </c>
      <c r="E40" s="8" t="s">
        <v>18</v>
      </c>
      <c r="F40" s="8" t="s">
        <v>1</v>
      </c>
      <c r="G40" s="9" t="s">
        <v>3</v>
      </c>
      <c r="H40" s="9" t="s">
        <v>12</v>
      </c>
      <c r="I40" s="10" t="s">
        <v>13</v>
      </c>
      <c r="K40" s="168"/>
      <c r="L40" s="8" t="s">
        <v>58</v>
      </c>
      <c r="M40" s="8" t="s">
        <v>59</v>
      </c>
      <c r="N40" s="7" t="s">
        <v>88</v>
      </c>
    </row>
    <row r="41" spans="2:14" x14ac:dyDescent="0.25">
      <c r="B41" s="11">
        <f t="shared" ref="B41:B49" si="6">1/C41</f>
        <v>1E-3</v>
      </c>
      <c r="C41" s="12">
        <v>1000</v>
      </c>
      <c r="D41" s="13">
        <f t="shared" ref="D41:D50" si="7">AVERAGE(D5, D23)</f>
        <v>315000000</v>
      </c>
      <c r="E41" s="14">
        <f t="shared" ref="E41:I41" si="8">AVERAGE(E5, E23)</f>
        <v>130000000</v>
      </c>
      <c r="F41" s="14">
        <f t="shared" si="8"/>
        <v>76500000</v>
      </c>
      <c r="G41" s="14">
        <f t="shared" si="8"/>
        <v>11000000</v>
      </c>
      <c r="H41" s="14">
        <f t="shared" si="8"/>
        <v>100000000</v>
      </c>
      <c r="I41" s="15">
        <f t="shared" si="8"/>
        <v>326500000</v>
      </c>
      <c r="K41" s="33" t="s">
        <v>103</v>
      </c>
      <c r="L41" s="52">
        <v>15000000</v>
      </c>
      <c r="M41" s="52">
        <v>30000000</v>
      </c>
      <c r="N41" s="159">
        <v>5000000</v>
      </c>
    </row>
    <row r="42" spans="2:14" x14ac:dyDescent="0.25">
      <c r="B42" s="11">
        <f t="shared" si="6"/>
        <v>2E-3</v>
      </c>
      <c r="C42" s="16">
        <v>500</v>
      </c>
      <c r="D42" s="13">
        <f t="shared" si="7"/>
        <v>187000000</v>
      </c>
      <c r="E42" s="14">
        <f t="shared" ref="E42:I42" si="9">AVERAGE(E6, E24)</f>
        <v>84000000</v>
      </c>
      <c r="F42" s="14">
        <f t="shared" si="9"/>
        <v>48500000</v>
      </c>
      <c r="G42" s="14">
        <f t="shared" si="9"/>
        <v>7000000</v>
      </c>
      <c r="H42" s="14">
        <f t="shared" si="9"/>
        <v>63500000</v>
      </c>
      <c r="I42" s="15">
        <f t="shared" si="9"/>
        <v>220500000</v>
      </c>
      <c r="K42" s="33" t="s">
        <v>104</v>
      </c>
      <c r="L42" s="14">
        <f>L41</f>
        <v>15000000</v>
      </c>
      <c r="M42" s="14">
        <f>M41</f>
        <v>30000000</v>
      </c>
      <c r="N42" s="159">
        <v>10000000</v>
      </c>
    </row>
    <row r="43" spans="2:14" x14ac:dyDescent="0.25">
      <c r="B43" s="11">
        <f t="shared" si="6"/>
        <v>4.0000000000000001E-3</v>
      </c>
      <c r="C43" s="16">
        <v>250</v>
      </c>
      <c r="D43" s="13">
        <f t="shared" si="7"/>
        <v>163500000</v>
      </c>
      <c r="E43" s="14">
        <f t="shared" ref="E43:I43" si="10">AVERAGE(E7, E25)</f>
        <v>71000000</v>
      </c>
      <c r="F43" s="14">
        <f t="shared" si="10"/>
        <v>45500000</v>
      </c>
      <c r="G43" s="14">
        <f t="shared" si="10"/>
        <v>6500000</v>
      </c>
      <c r="H43" s="14">
        <f t="shared" si="10"/>
        <v>60500000</v>
      </c>
      <c r="I43" s="15">
        <f t="shared" si="10"/>
        <v>183500000</v>
      </c>
      <c r="K43" s="33" t="s">
        <v>48</v>
      </c>
      <c r="L43" s="14" t="s">
        <v>105</v>
      </c>
      <c r="M43" s="14" t="s">
        <v>105</v>
      </c>
      <c r="N43" s="159" t="s">
        <v>57</v>
      </c>
    </row>
    <row r="44" spans="2:14" x14ac:dyDescent="0.25">
      <c r="B44" s="11">
        <f t="shared" si="6"/>
        <v>5.0000000000000001E-3</v>
      </c>
      <c r="C44" s="16">
        <v>200</v>
      </c>
      <c r="D44" s="13">
        <f t="shared" si="7"/>
        <v>137500000</v>
      </c>
      <c r="E44" s="14">
        <f t="shared" ref="E44:I44" si="11">AVERAGE(E8, E26)</f>
        <v>62000000</v>
      </c>
      <c r="F44" s="14">
        <f t="shared" si="11"/>
        <v>38000000</v>
      </c>
      <c r="G44" s="14">
        <f t="shared" si="11"/>
        <v>5500000</v>
      </c>
      <c r="H44" s="14">
        <f t="shared" si="11"/>
        <v>48500000</v>
      </c>
      <c r="I44" s="15">
        <f t="shared" si="11"/>
        <v>148000000</v>
      </c>
      <c r="K44" s="169"/>
      <c r="L44" s="170"/>
      <c r="M44" s="170"/>
      <c r="N44" s="171"/>
    </row>
    <row r="45" spans="2:14" x14ac:dyDescent="0.25">
      <c r="B45" s="11">
        <f t="shared" si="6"/>
        <v>6.6666666666666671E-3</v>
      </c>
      <c r="C45" s="16">
        <v>150</v>
      </c>
      <c r="D45" s="13">
        <f t="shared" si="7"/>
        <v>92000000</v>
      </c>
      <c r="E45" s="14">
        <f t="shared" ref="E45:I45" si="12">AVERAGE(E9, E27)</f>
        <v>44500000</v>
      </c>
      <c r="F45" s="14">
        <f t="shared" si="12"/>
        <v>26500000</v>
      </c>
      <c r="G45" s="14">
        <f t="shared" si="12"/>
        <v>4000000</v>
      </c>
      <c r="H45" s="14">
        <f t="shared" si="12"/>
        <v>37500000</v>
      </c>
      <c r="I45" s="15">
        <f t="shared" si="12"/>
        <v>102500000</v>
      </c>
      <c r="K45" s="33" t="s">
        <v>106</v>
      </c>
      <c r="L45" s="14">
        <v>0</v>
      </c>
      <c r="M45" s="14">
        <v>0</v>
      </c>
      <c r="N45" s="159">
        <v>20000000</v>
      </c>
    </row>
    <row r="46" spans="2:14" x14ac:dyDescent="0.25">
      <c r="B46" s="11">
        <f t="shared" si="6"/>
        <v>0.01</v>
      </c>
      <c r="C46" s="16">
        <v>100</v>
      </c>
      <c r="D46" s="13">
        <f t="shared" si="7"/>
        <v>63000000</v>
      </c>
      <c r="E46" s="14">
        <f t="shared" ref="E46:I46" si="13">AVERAGE(E10, E28)</f>
        <v>38500000</v>
      </c>
      <c r="F46" s="14">
        <f t="shared" si="13"/>
        <v>23500000</v>
      </c>
      <c r="G46" s="14">
        <f t="shared" si="13"/>
        <v>3000000</v>
      </c>
      <c r="H46" s="14">
        <f t="shared" si="13"/>
        <v>29500000</v>
      </c>
      <c r="I46" s="15">
        <f t="shared" si="13"/>
        <v>72500000</v>
      </c>
      <c r="K46" s="33" t="s">
        <v>107</v>
      </c>
      <c r="L46" s="14">
        <f>L42*2</f>
        <v>30000000</v>
      </c>
      <c r="M46" s="14">
        <f>M42*2</f>
        <v>60000000</v>
      </c>
      <c r="N46" s="159">
        <v>50000000</v>
      </c>
    </row>
    <row r="47" spans="2:14" x14ac:dyDescent="0.25">
      <c r="B47" s="11">
        <f t="shared" si="6"/>
        <v>0.02</v>
      </c>
      <c r="C47" s="16">
        <v>50</v>
      </c>
      <c r="D47" s="13">
        <f t="shared" si="7"/>
        <v>46000000</v>
      </c>
      <c r="E47" s="14">
        <f t="shared" ref="E47:I47" si="14">AVERAGE(E11, E29)</f>
        <v>31500000</v>
      </c>
      <c r="F47" s="14">
        <f t="shared" si="14"/>
        <v>18500000</v>
      </c>
      <c r="G47" s="14">
        <f t="shared" si="14"/>
        <v>3000000</v>
      </c>
      <c r="H47" s="14">
        <f t="shared" si="14"/>
        <v>24500000</v>
      </c>
      <c r="I47" s="15">
        <f t="shared" si="14"/>
        <v>50500000</v>
      </c>
      <c r="K47" s="169"/>
      <c r="L47" s="172"/>
      <c r="M47" s="173"/>
      <c r="N47" s="174"/>
    </row>
    <row r="48" spans="2:14" ht="15.75" x14ac:dyDescent="0.25">
      <c r="B48" s="11">
        <f t="shared" si="6"/>
        <v>0.04</v>
      </c>
      <c r="C48" s="16">
        <v>25</v>
      </c>
      <c r="D48" s="13">
        <f t="shared" si="7"/>
        <v>20500000</v>
      </c>
      <c r="E48" s="14">
        <f t="shared" ref="E48:I48" si="15">AVERAGE(E12, E30)</f>
        <v>21000000</v>
      </c>
      <c r="F48" s="14">
        <f t="shared" si="15"/>
        <v>16000000</v>
      </c>
      <c r="G48" s="14">
        <f t="shared" si="15"/>
        <v>2000000</v>
      </c>
      <c r="H48" s="14">
        <f t="shared" si="15"/>
        <v>22500000</v>
      </c>
      <c r="I48" s="15">
        <f t="shared" si="15"/>
        <v>23500000</v>
      </c>
      <c r="K48" s="179" t="s">
        <v>6</v>
      </c>
      <c r="L48" s="180">
        <f t="array" ref="L48:N48">TRANSPOSE($I$53:$I$55)</f>
        <v>3600000</v>
      </c>
      <c r="M48" s="180">
        <v>2550000</v>
      </c>
      <c r="N48" s="181">
        <v>2600000</v>
      </c>
    </row>
    <row r="49" spans="2:10" x14ac:dyDescent="0.25">
      <c r="B49" s="11">
        <f t="shared" si="6"/>
        <v>0.1</v>
      </c>
      <c r="C49" s="17">
        <v>10</v>
      </c>
      <c r="D49" s="13">
        <f t="shared" si="7"/>
        <v>12000000</v>
      </c>
      <c r="E49" s="14">
        <f t="shared" ref="E49:I50" si="16">AVERAGE(E13, E31)</f>
        <v>0</v>
      </c>
      <c r="F49" s="14">
        <f t="shared" si="16"/>
        <v>12000000</v>
      </c>
      <c r="G49" s="14">
        <f t="shared" si="16"/>
        <v>0</v>
      </c>
      <c r="H49" s="14">
        <f t="shared" si="16"/>
        <v>9000000</v>
      </c>
      <c r="I49" s="15">
        <f t="shared" si="16"/>
        <v>13000000</v>
      </c>
    </row>
    <row r="50" spans="2:10" x14ac:dyDescent="0.25">
      <c r="B50" s="18" t="s">
        <v>14</v>
      </c>
      <c r="C50" s="19"/>
      <c r="D50" s="20">
        <f t="shared" si="7"/>
        <v>10400000</v>
      </c>
      <c r="E50" s="21">
        <f t="shared" si="16"/>
        <v>5000000</v>
      </c>
      <c r="F50" s="21">
        <f t="shared" si="16"/>
        <v>6050000</v>
      </c>
      <c r="G50" s="21">
        <f t="shared" si="16"/>
        <v>850000</v>
      </c>
      <c r="H50" s="21">
        <f t="shared" si="16"/>
        <v>9000000</v>
      </c>
      <c r="I50" s="22">
        <f t="shared" si="16"/>
        <v>31300000</v>
      </c>
    </row>
    <row r="51" spans="2:10" x14ac:dyDescent="0.25">
      <c r="B51" s="23" t="s">
        <v>15</v>
      </c>
      <c r="C51" s="24"/>
      <c r="D51" s="13"/>
      <c r="E51" s="14"/>
      <c r="F51" s="14"/>
      <c r="G51" s="14"/>
      <c r="H51" s="14"/>
      <c r="I51" s="15"/>
    </row>
    <row r="52" spans="2:10" x14ac:dyDescent="0.25">
      <c r="B52" s="25" t="s">
        <v>17</v>
      </c>
      <c r="C52" s="26"/>
      <c r="D52" s="27"/>
      <c r="E52" s="28"/>
      <c r="F52" s="28"/>
      <c r="G52" s="28"/>
      <c r="H52" s="28"/>
      <c r="I52" s="29"/>
    </row>
    <row r="53" spans="2:10" x14ac:dyDescent="0.25">
      <c r="B53" s="18" t="s">
        <v>111</v>
      </c>
      <c r="C53" s="19"/>
      <c r="D53" s="165">
        <f>AVERAGE(D17, D35)</f>
        <v>2150000</v>
      </c>
      <c r="E53" s="165">
        <f t="shared" ref="E53:H53" si="17">AVERAGE(E17, E35)</f>
        <v>175000</v>
      </c>
      <c r="F53" s="165">
        <f t="shared" si="17"/>
        <v>165000</v>
      </c>
      <c r="G53" s="165">
        <f t="shared" si="17"/>
        <v>260000</v>
      </c>
      <c r="H53" s="165">
        <f t="shared" si="17"/>
        <v>850000</v>
      </c>
      <c r="I53" s="147">
        <f>SUM(D53:H53)</f>
        <v>3600000</v>
      </c>
      <c r="J53" s="2"/>
    </row>
    <row r="54" spans="2:10" x14ac:dyDescent="0.25">
      <c r="B54" s="23" t="s">
        <v>112</v>
      </c>
      <c r="C54" s="24"/>
      <c r="D54" s="166">
        <f t="shared" ref="D54:H54" si="18">AVERAGE(D18, D36)</f>
        <v>1812500</v>
      </c>
      <c r="E54" s="166">
        <f t="shared" si="18"/>
        <v>105000</v>
      </c>
      <c r="F54" s="166">
        <f t="shared" si="18"/>
        <v>150000</v>
      </c>
      <c r="G54" s="166">
        <f t="shared" si="18"/>
        <v>100000</v>
      </c>
      <c r="H54" s="166">
        <f t="shared" si="18"/>
        <v>382500</v>
      </c>
      <c r="I54" s="148">
        <f t="shared" ref="I54:I55" si="19">SUM(D54:H54)</f>
        <v>2550000</v>
      </c>
      <c r="J54" s="2"/>
    </row>
    <row r="55" spans="2:10" x14ac:dyDescent="0.25">
      <c r="B55" s="25" t="s">
        <v>87</v>
      </c>
      <c r="C55" s="26"/>
      <c r="D55" s="167">
        <f t="shared" ref="D55:H55" si="20">AVERAGE(D19, D37)</f>
        <v>2150000</v>
      </c>
      <c r="E55" s="167">
        <f t="shared" si="20"/>
        <v>57500</v>
      </c>
      <c r="F55" s="167">
        <f t="shared" si="20"/>
        <v>75000</v>
      </c>
      <c r="G55" s="167">
        <f t="shared" si="20"/>
        <v>112500</v>
      </c>
      <c r="H55" s="167">
        <f t="shared" si="20"/>
        <v>205000</v>
      </c>
      <c r="I55" s="149">
        <f t="shared" si="19"/>
        <v>2600000</v>
      </c>
      <c r="J55" s="2"/>
    </row>
  </sheetData>
  <mergeCells count="6">
    <mergeCell ref="D3:I3"/>
    <mergeCell ref="D21:I21"/>
    <mergeCell ref="D39:I39"/>
    <mergeCell ref="K3:N3"/>
    <mergeCell ref="K21:N21"/>
    <mergeCell ref="K39:N39"/>
  </mergeCells>
  <pageMargins left="0.25" right="0.25" top="0.5" bottom="0.5" header="0.05" footer="0.05"/>
  <pageSetup scale="67" orientation="landscape" r:id="rId1"/>
  <headerFooter>
    <oddHeader>&amp;CBattleBots Extreme Pricing Challenge 2023 - Submission</oddHeader>
    <oddFooter>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B840-AB1F-4284-946F-73DD7F167E52}">
  <sheetPr>
    <pageSetUpPr fitToPage="1"/>
  </sheetPr>
  <dimension ref="B1:AM71"/>
  <sheetViews>
    <sheetView showGridLines="0" zoomScaleNormal="100" workbookViewId="0"/>
  </sheetViews>
  <sheetFormatPr defaultRowHeight="15" x14ac:dyDescent="0.25"/>
  <cols>
    <col min="1" max="1" width="4.42578125" customWidth="1"/>
    <col min="2" max="4" width="14.140625" customWidth="1"/>
    <col min="5" max="5" width="22.5703125" bestFit="1" customWidth="1"/>
    <col min="6" max="6" width="4.7109375" customWidth="1"/>
    <col min="7" max="7" width="18.140625" customWidth="1"/>
    <col min="8" max="11" width="14.42578125" customWidth="1"/>
    <col min="12" max="12" width="4.7109375" customWidth="1"/>
    <col min="13" max="13" width="15" customWidth="1"/>
    <col min="14" max="14" width="14.28515625" bestFit="1" customWidth="1"/>
    <col min="15" max="15" width="15.28515625" bestFit="1" customWidth="1"/>
    <col min="16" max="16" width="14.42578125" customWidth="1"/>
    <col min="17" max="17" width="14.28515625" bestFit="1" customWidth="1"/>
    <col min="18" max="18" width="15.7109375" bestFit="1" customWidth="1"/>
    <col min="19" max="19" width="2.7109375" customWidth="1"/>
    <col min="20" max="20" width="14.5703125" customWidth="1"/>
    <col min="21" max="26" width="15" customWidth="1"/>
    <col min="27" max="29" width="10" customWidth="1"/>
    <col min="30" max="30" width="5.85546875" customWidth="1"/>
    <col min="31" max="34" width="14.7109375" customWidth="1"/>
    <col min="35" max="35" width="4.7109375" customWidth="1"/>
    <col min="36" max="39" width="14.7109375" customWidth="1"/>
  </cols>
  <sheetData>
    <row r="1" spans="2:39" x14ac:dyDescent="0.25">
      <c r="B1" s="152" t="s">
        <v>94</v>
      </c>
      <c r="C1" s="152"/>
      <c r="D1" s="152"/>
      <c r="E1" s="152"/>
      <c r="G1" s="152" t="s">
        <v>96</v>
      </c>
      <c r="H1" s="152"/>
      <c r="I1" s="152"/>
      <c r="J1" s="152"/>
      <c r="K1" s="152"/>
      <c r="M1" s="152" t="s">
        <v>95</v>
      </c>
      <c r="N1" s="152"/>
      <c r="O1" s="152"/>
      <c r="P1" s="152"/>
      <c r="Q1" s="152"/>
      <c r="R1" s="152"/>
      <c r="T1" s="152" t="s">
        <v>97</v>
      </c>
      <c r="U1" s="152"/>
      <c r="V1" s="152"/>
      <c r="W1" s="152"/>
      <c r="X1" s="152"/>
      <c r="Y1" s="152"/>
      <c r="Z1" s="150"/>
      <c r="AA1" s="150"/>
      <c r="AB1" s="150"/>
      <c r="AC1" s="150"/>
      <c r="AE1" s="152" t="s">
        <v>98</v>
      </c>
      <c r="AF1" s="152"/>
      <c r="AG1" s="152"/>
      <c r="AH1" s="152"/>
      <c r="AJ1" s="152" t="s">
        <v>99</v>
      </c>
      <c r="AK1" s="152"/>
      <c r="AL1" s="152"/>
      <c r="AM1" s="152"/>
    </row>
    <row r="3" spans="2:39" x14ac:dyDescent="0.25">
      <c r="G3" s="153"/>
      <c r="H3" s="40" t="s">
        <v>89</v>
      </c>
      <c r="I3" s="40" t="s">
        <v>58</v>
      </c>
      <c r="J3" s="40" t="s">
        <v>59</v>
      </c>
      <c r="K3" s="40" t="s">
        <v>65</v>
      </c>
      <c r="M3" s="153"/>
      <c r="N3" s="40" t="s">
        <v>89</v>
      </c>
      <c r="O3" s="40" t="s">
        <v>58</v>
      </c>
      <c r="P3" s="40" t="s">
        <v>59</v>
      </c>
      <c r="Q3" s="40" t="s">
        <v>65</v>
      </c>
      <c r="R3" s="40" t="s">
        <v>88</v>
      </c>
    </row>
    <row r="4" spans="2:39" x14ac:dyDescent="0.25">
      <c r="G4" t="s">
        <v>20</v>
      </c>
      <c r="H4" s="108" t="s">
        <v>57</v>
      </c>
      <c r="I4" s="154">
        <v>15000000</v>
      </c>
      <c r="J4" s="154">
        <v>30000000</v>
      </c>
      <c r="K4" s="154">
        <v>5000000</v>
      </c>
      <c r="M4" t="s">
        <v>20</v>
      </c>
      <c r="N4" s="108" t="s">
        <v>57</v>
      </c>
      <c r="O4" s="154">
        <v>15000000</v>
      </c>
      <c r="P4" s="154">
        <v>30000000</v>
      </c>
      <c r="Q4" s="154">
        <v>5000000</v>
      </c>
      <c r="R4" s="154">
        <v>20000000</v>
      </c>
    </row>
    <row r="5" spans="2:39" x14ac:dyDescent="0.25">
      <c r="G5" t="s">
        <v>19</v>
      </c>
      <c r="H5" s="108" t="s">
        <v>57</v>
      </c>
      <c r="I5" s="154">
        <v>15000000</v>
      </c>
      <c r="J5" s="154">
        <v>30000000</v>
      </c>
      <c r="K5" s="154">
        <v>10000000</v>
      </c>
      <c r="M5" t="s">
        <v>19</v>
      </c>
      <c r="N5" s="108" t="s">
        <v>57</v>
      </c>
      <c r="O5" s="154">
        <v>15000000</v>
      </c>
      <c r="P5" s="154">
        <v>30000000</v>
      </c>
      <c r="Q5" s="154">
        <v>10000000</v>
      </c>
      <c r="R5" s="154">
        <v>50000000</v>
      </c>
    </row>
    <row r="7" spans="2:39" x14ac:dyDescent="0.25">
      <c r="G7" s="54" t="s">
        <v>83</v>
      </c>
      <c r="H7" s="117" t="s">
        <v>70</v>
      </c>
      <c r="I7" s="136"/>
      <c r="J7" s="136"/>
      <c r="K7" s="139"/>
      <c r="L7" s="1"/>
      <c r="M7" s="54" t="s">
        <v>83</v>
      </c>
      <c r="N7" s="117" t="s">
        <v>70</v>
      </c>
      <c r="O7" s="136"/>
      <c r="P7" s="136"/>
      <c r="Q7" s="136"/>
      <c r="R7" s="74"/>
      <c r="T7" s="54" t="s">
        <v>83</v>
      </c>
      <c r="U7" s="175" t="s">
        <v>77</v>
      </c>
      <c r="V7" s="176"/>
      <c r="W7" s="177"/>
      <c r="X7" s="176" t="s">
        <v>29</v>
      </c>
      <c r="Y7" s="176"/>
      <c r="Z7" s="177"/>
      <c r="AA7" s="175" t="s">
        <v>86</v>
      </c>
      <c r="AB7" s="176"/>
      <c r="AC7" s="177"/>
      <c r="AE7" s="145"/>
      <c r="AF7" s="117" t="s">
        <v>70</v>
      </c>
      <c r="AG7" s="136"/>
      <c r="AH7" s="139"/>
      <c r="AJ7" s="145"/>
      <c r="AK7" s="117" t="s">
        <v>70</v>
      </c>
      <c r="AL7" s="136"/>
      <c r="AM7" s="139"/>
    </row>
    <row r="8" spans="2:39" x14ac:dyDescent="0.25">
      <c r="B8" s="54" t="s">
        <v>69</v>
      </c>
      <c r="C8" s="46" t="s">
        <v>34</v>
      </c>
      <c r="D8" s="46" t="s">
        <v>49</v>
      </c>
      <c r="E8" s="54" t="s">
        <v>70</v>
      </c>
      <c r="G8" s="61" t="s">
        <v>84</v>
      </c>
      <c r="H8" s="9" t="s">
        <v>66</v>
      </c>
      <c r="I8" s="9" t="s">
        <v>81</v>
      </c>
      <c r="J8" s="9" t="s">
        <v>82</v>
      </c>
      <c r="K8" s="10" t="s">
        <v>65</v>
      </c>
      <c r="M8" s="61" t="s">
        <v>84</v>
      </c>
      <c r="N8" s="9" t="s">
        <v>66</v>
      </c>
      <c r="O8" s="9" t="s">
        <v>81</v>
      </c>
      <c r="P8" s="9" t="s">
        <v>82</v>
      </c>
      <c r="Q8" s="9" t="s">
        <v>65</v>
      </c>
      <c r="R8" s="10" t="s">
        <v>85</v>
      </c>
      <c r="T8" s="61" t="s">
        <v>84</v>
      </c>
      <c r="U8" s="43" t="s">
        <v>66</v>
      </c>
      <c r="V8" s="9" t="s">
        <v>67</v>
      </c>
      <c r="W8" s="10" t="s">
        <v>68</v>
      </c>
      <c r="X8" s="9" t="s">
        <v>66</v>
      </c>
      <c r="Y8" s="9" t="s">
        <v>67</v>
      </c>
      <c r="Z8" s="10" t="s">
        <v>68</v>
      </c>
      <c r="AA8" s="43" t="s">
        <v>66</v>
      </c>
      <c r="AB8" s="9" t="s">
        <v>67</v>
      </c>
      <c r="AC8" s="10" t="s">
        <v>68</v>
      </c>
      <c r="AE8" s="61" t="s">
        <v>34</v>
      </c>
      <c r="AF8" s="9" t="s">
        <v>66</v>
      </c>
      <c r="AG8" s="9" t="s">
        <v>81</v>
      </c>
      <c r="AH8" s="10" t="s">
        <v>82</v>
      </c>
      <c r="AJ8" s="61" t="s">
        <v>34</v>
      </c>
      <c r="AK8" s="9" t="s">
        <v>66</v>
      </c>
      <c r="AL8" s="9" t="s">
        <v>81</v>
      </c>
      <c r="AM8" s="10" t="s">
        <v>82</v>
      </c>
    </row>
    <row r="9" spans="2:39" x14ac:dyDescent="0.25">
      <c r="B9" s="138">
        <v>2008</v>
      </c>
      <c r="C9" s="118" t="s">
        <v>60</v>
      </c>
      <c r="D9" s="118" t="s">
        <v>47</v>
      </c>
      <c r="E9" s="100">
        <v>38000000</v>
      </c>
      <c r="G9" s="138">
        <v>2008</v>
      </c>
      <c r="H9" s="2">
        <f>E9</f>
        <v>38000000</v>
      </c>
      <c r="I9" s="73">
        <f t="shared" ref="I9:K28" si="0">MIN(MAX(0, $E9-I$4), I$5)</f>
        <v>15000000</v>
      </c>
      <c r="J9" s="69">
        <f t="shared" si="0"/>
        <v>8000000</v>
      </c>
      <c r="K9" s="36">
        <f t="shared" si="0"/>
        <v>10000000</v>
      </c>
      <c r="L9" s="1"/>
      <c r="M9" s="138">
        <v>2008</v>
      </c>
      <c r="N9" s="68">
        <f t="shared" ref="N9:N23" si="1">SUMIFS(H$9:H$42, $G$9:$G$42, $M9)</f>
        <v>38000000</v>
      </c>
      <c r="O9" s="73">
        <f t="shared" ref="O9:O23" si="2">SUMIFS(I$9:I$42, $G$9:$G$42, $M9)</f>
        <v>15000000</v>
      </c>
      <c r="P9" s="69">
        <f t="shared" ref="P9:P23" si="3">SUMIFS(J$9:J$42, $G$9:$G$42, $M9)</f>
        <v>8000000</v>
      </c>
      <c r="Q9" s="68">
        <f t="shared" ref="Q9:Q23" si="4">SUMIFS(K$9:K$42, $G$9:$G$42, $M9)</f>
        <v>10000000</v>
      </c>
      <c r="R9" s="69">
        <f t="shared" ref="R9:R23" si="5">MIN(MAX(0, $Q9-R$4), R$5)</f>
        <v>0</v>
      </c>
      <c r="T9" s="70">
        <v>2008</v>
      </c>
      <c r="U9" s="71">
        <f t="shared" ref="U9:U23" si="6">N9</f>
        <v>38000000</v>
      </c>
      <c r="V9" s="35">
        <f t="shared" ref="V9:V23" si="7">O9+P9+R9</f>
        <v>23000000</v>
      </c>
      <c r="W9" s="107">
        <f>U9-V9</f>
        <v>15000000</v>
      </c>
      <c r="X9" s="35">
        <f>'Treaty Experience'!F5</f>
        <v>56000000</v>
      </c>
      <c r="Y9" s="35">
        <f>'Treaty Experience'!K5+'Treaty Experience'!K31+'Treaty Experience'!K57</f>
        <v>9557333.333333334</v>
      </c>
      <c r="Z9" s="36">
        <f t="shared" ref="Z9" si="8">X9-Y9</f>
        <v>46442666.666666664</v>
      </c>
      <c r="AA9" s="104">
        <f t="shared" ref="AA9" si="9">U9/X9</f>
        <v>0.6785714285714286</v>
      </c>
      <c r="AB9" s="105">
        <f t="shared" ref="AB9" si="10">V9/Y9</f>
        <v>2.4065290178571428</v>
      </c>
      <c r="AC9" s="66">
        <f t="shared" ref="AC9" si="11">W9/Z9</f>
        <v>0.32297887000459352</v>
      </c>
      <c r="AE9" s="122" t="s">
        <v>16</v>
      </c>
      <c r="AF9" s="35">
        <f>SUMIFS($E$9:$E$42, $C$9:$C$42, $AE9)</f>
        <v>65000000</v>
      </c>
      <c r="AG9" s="35">
        <f>SUMIFS($I$9:$I$42, $C$9:$C$42, $AE9)</f>
        <v>7000000</v>
      </c>
      <c r="AH9" s="36">
        <f>SUMIFS($J$9:$J$42, $C$9:$C$42, $AE9)</f>
        <v>0</v>
      </c>
      <c r="AJ9" s="122" t="s">
        <v>16</v>
      </c>
      <c r="AK9" s="35">
        <f>AF9/15</f>
        <v>4333333.333333333</v>
      </c>
      <c r="AL9" s="35">
        <f t="shared" ref="AL9:AM12" si="12">AG9/15</f>
        <v>466666.66666666669</v>
      </c>
      <c r="AM9" s="36">
        <f t="shared" si="12"/>
        <v>0</v>
      </c>
    </row>
    <row r="10" spans="2:39" x14ac:dyDescent="0.25">
      <c r="B10" s="70">
        <v>2009</v>
      </c>
      <c r="C10" s="108" t="s">
        <v>52</v>
      </c>
      <c r="D10" s="108" t="s">
        <v>1</v>
      </c>
      <c r="E10" s="64">
        <v>3000000</v>
      </c>
      <c r="G10" s="70">
        <v>2009</v>
      </c>
      <c r="H10" s="2">
        <f t="shared" ref="H10:H42" si="13">E10</f>
        <v>3000000</v>
      </c>
      <c r="I10" s="71">
        <f t="shared" si="0"/>
        <v>0</v>
      </c>
      <c r="J10" s="36">
        <f t="shared" si="0"/>
        <v>0</v>
      </c>
      <c r="K10" s="36">
        <f t="shared" si="0"/>
        <v>0</v>
      </c>
      <c r="L10" s="1"/>
      <c r="M10" s="70">
        <v>2009</v>
      </c>
      <c r="N10" s="35">
        <f t="shared" si="1"/>
        <v>3000000</v>
      </c>
      <c r="O10" s="71">
        <f t="shared" si="2"/>
        <v>0</v>
      </c>
      <c r="P10" s="36">
        <f t="shared" si="3"/>
        <v>0</v>
      </c>
      <c r="Q10" s="35">
        <f t="shared" si="4"/>
        <v>0</v>
      </c>
      <c r="R10" s="36">
        <f t="shared" si="5"/>
        <v>0</v>
      </c>
      <c r="T10" s="70">
        <v>2009</v>
      </c>
      <c r="U10" s="71">
        <f t="shared" si="6"/>
        <v>3000000</v>
      </c>
      <c r="V10" s="35">
        <f t="shared" si="7"/>
        <v>0</v>
      </c>
      <c r="W10" s="107">
        <f t="shared" ref="W10:W23" si="14">U10-V10</f>
        <v>3000000</v>
      </c>
      <c r="X10" s="35">
        <f>'Treaty Experience'!F6</f>
        <v>62200000</v>
      </c>
      <c r="Y10" s="35">
        <f>'Treaty Experience'!K6+'Treaty Experience'!K32+'Treaty Experience'!K58</f>
        <v>7464000</v>
      </c>
      <c r="Z10" s="36">
        <f t="shared" ref="Z10:Z23" si="15">X10-Y10</f>
        <v>54736000</v>
      </c>
      <c r="AA10" s="104">
        <f t="shared" ref="AA10:AA23" si="16">U10/X10</f>
        <v>4.8231511254019289E-2</v>
      </c>
      <c r="AB10" s="105">
        <f t="shared" ref="AB10:AC23" si="17">V10/Y10</f>
        <v>0</v>
      </c>
      <c r="AC10" s="66">
        <f t="shared" si="17"/>
        <v>5.4808535515931012E-2</v>
      </c>
      <c r="AE10" s="122" t="s">
        <v>60</v>
      </c>
      <c r="AF10" s="35">
        <f>SUMIFS($E$9:$E$42, $C$9:$C$42, $AE10)</f>
        <v>115000000</v>
      </c>
      <c r="AG10" s="35">
        <f>SUMIFS($I$9:$I$42, $C$9:$C$42, $AE10)</f>
        <v>24000000</v>
      </c>
      <c r="AH10" s="36">
        <f>SUMIFS($J$9:$J$42, $C$9:$C$42, $AE10)</f>
        <v>8000000</v>
      </c>
      <c r="AJ10" s="122" t="s">
        <v>60</v>
      </c>
      <c r="AK10" s="35">
        <f t="shared" ref="AK10:AK12" si="18">AF10/15</f>
        <v>7666666.666666667</v>
      </c>
      <c r="AL10" s="35">
        <f t="shared" si="12"/>
        <v>1600000</v>
      </c>
      <c r="AM10" s="36">
        <f t="shared" si="12"/>
        <v>533333.33333333337</v>
      </c>
    </row>
    <row r="11" spans="2:39" x14ac:dyDescent="0.25">
      <c r="B11" s="70">
        <v>2010</v>
      </c>
      <c r="C11" s="108" t="s">
        <v>60</v>
      </c>
      <c r="D11" s="108" t="s">
        <v>50</v>
      </c>
      <c r="E11" s="64">
        <v>2000000</v>
      </c>
      <c r="G11" s="70">
        <v>2010</v>
      </c>
      <c r="H11" s="2">
        <f t="shared" si="13"/>
        <v>2000000</v>
      </c>
      <c r="I11" s="71">
        <f t="shared" si="0"/>
        <v>0</v>
      </c>
      <c r="J11" s="36">
        <f t="shared" si="0"/>
        <v>0</v>
      </c>
      <c r="K11" s="36">
        <f t="shared" si="0"/>
        <v>0</v>
      </c>
      <c r="L11" s="1"/>
      <c r="M11" s="70">
        <v>2010</v>
      </c>
      <c r="N11" s="35">
        <f t="shared" si="1"/>
        <v>2000000</v>
      </c>
      <c r="O11" s="71">
        <f t="shared" si="2"/>
        <v>0</v>
      </c>
      <c r="P11" s="36">
        <f t="shared" si="3"/>
        <v>0</v>
      </c>
      <c r="Q11" s="35">
        <f t="shared" si="4"/>
        <v>0</v>
      </c>
      <c r="R11" s="36">
        <f t="shared" si="5"/>
        <v>0</v>
      </c>
      <c r="T11" s="70">
        <v>2010</v>
      </c>
      <c r="U11" s="71">
        <f t="shared" si="6"/>
        <v>2000000</v>
      </c>
      <c r="V11" s="35">
        <f t="shared" si="7"/>
        <v>0</v>
      </c>
      <c r="W11" s="107">
        <f t="shared" si="14"/>
        <v>2000000</v>
      </c>
      <c r="X11" s="35">
        <f>'Treaty Experience'!F7</f>
        <v>68400000</v>
      </c>
      <c r="Y11" s="35">
        <f>'Treaty Experience'!K7+'Treaty Experience'!K33+'Treaty Experience'!K59</f>
        <v>8208000</v>
      </c>
      <c r="Z11" s="36">
        <f t="shared" si="15"/>
        <v>60192000</v>
      </c>
      <c r="AA11" s="104">
        <f t="shared" si="16"/>
        <v>2.9239766081871343E-2</v>
      </c>
      <c r="AB11" s="105">
        <f t="shared" si="17"/>
        <v>0</v>
      </c>
      <c r="AC11" s="66">
        <f t="shared" si="17"/>
        <v>3.3227006911217438E-2</v>
      </c>
      <c r="AE11" s="122" t="s">
        <v>52</v>
      </c>
      <c r="AF11" s="35">
        <f>SUMIFS($E$9:$E$42, $C$9:$C$42, $AE11)</f>
        <v>169000000</v>
      </c>
      <c r="AG11" s="35">
        <f>SUMIFS($I$9:$I$42, $C$9:$C$42, $AE11)</f>
        <v>22000000</v>
      </c>
      <c r="AH11" s="36">
        <f>SUMIFS($J$9:$J$42, $C$9:$C$42, $AE11)</f>
        <v>8000000</v>
      </c>
      <c r="AJ11" s="122" t="s">
        <v>52</v>
      </c>
      <c r="AK11" s="35">
        <f t="shared" si="18"/>
        <v>11266666.666666666</v>
      </c>
      <c r="AL11" s="35">
        <f t="shared" si="12"/>
        <v>1466666.6666666667</v>
      </c>
      <c r="AM11" s="36">
        <f t="shared" si="12"/>
        <v>533333.33333333337</v>
      </c>
    </row>
    <row r="12" spans="2:39" x14ac:dyDescent="0.25">
      <c r="B12" s="70">
        <v>2012</v>
      </c>
      <c r="C12" s="108" t="s">
        <v>16</v>
      </c>
      <c r="D12" s="108" t="s">
        <v>46</v>
      </c>
      <c r="E12" s="64">
        <v>2000000</v>
      </c>
      <c r="G12" s="70">
        <v>2012</v>
      </c>
      <c r="H12" s="2">
        <f t="shared" si="13"/>
        <v>2000000</v>
      </c>
      <c r="I12" s="71">
        <f t="shared" si="0"/>
        <v>0</v>
      </c>
      <c r="J12" s="36">
        <f t="shared" si="0"/>
        <v>0</v>
      </c>
      <c r="K12" s="36">
        <f t="shared" si="0"/>
        <v>0</v>
      </c>
      <c r="L12" s="1"/>
      <c r="M12" s="70">
        <v>2011</v>
      </c>
      <c r="N12" s="35">
        <f t="shared" si="1"/>
        <v>0</v>
      </c>
      <c r="O12" s="71">
        <f t="shared" si="2"/>
        <v>0</v>
      </c>
      <c r="P12" s="36">
        <f t="shared" si="3"/>
        <v>0</v>
      </c>
      <c r="Q12" s="35">
        <f t="shared" si="4"/>
        <v>0</v>
      </c>
      <c r="R12" s="36">
        <f t="shared" si="5"/>
        <v>0</v>
      </c>
      <c r="T12" s="70">
        <v>2011</v>
      </c>
      <c r="U12" s="71">
        <f t="shared" si="6"/>
        <v>0</v>
      </c>
      <c r="V12" s="35">
        <f t="shared" si="7"/>
        <v>0</v>
      </c>
      <c r="W12" s="107">
        <f t="shared" si="14"/>
        <v>0</v>
      </c>
      <c r="X12" s="35">
        <f>'Treaty Experience'!F8</f>
        <v>69800000</v>
      </c>
      <c r="Y12" s="35">
        <f>'Treaty Experience'!K8+'Treaty Experience'!K34+'Treaty Experience'!K60</f>
        <v>8376000</v>
      </c>
      <c r="Z12" s="36">
        <f t="shared" si="15"/>
        <v>61424000</v>
      </c>
      <c r="AA12" s="104">
        <f t="shared" si="16"/>
        <v>0</v>
      </c>
      <c r="AB12" s="105">
        <f t="shared" si="17"/>
        <v>0</v>
      </c>
      <c r="AC12" s="66">
        <f t="shared" si="17"/>
        <v>0</v>
      </c>
      <c r="AE12" s="142" t="s">
        <v>0</v>
      </c>
      <c r="AF12" s="109">
        <f>SUM(AF9:AF11)</f>
        <v>349000000</v>
      </c>
      <c r="AG12" s="109">
        <f>SUM(AG9:AG11)</f>
        <v>53000000</v>
      </c>
      <c r="AH12" s="99">
        <f>SUM(AH9:AH11)</f>
        <v>16000000</v>
      </c>
      <c r="AJ12" s="142" t="s">
        <v>0</v>
      </c>
      <c r="AK12" s="109">
        <f t="shared" si="18"/>
        <v>23266666.666666668</v>
      </c>
      <c r="AL12" s="109">
        <f t="shared" si="12"/>
        <v>3533333.3333333335</v>
      </c>
      <c r="AM12" s="99">
        <f t="shared" si="12"/>
        <v>1066666.6666666667</v>
      </c>
    </row>
    <row r="13" spans="2:39" x14ac:dyDescent="0.25">
      <c r="B13" s="70">
        <v>2014</v>
      </c>
      <c r="C13" s="108" t="s">
        <v>52</v>
      </c>
      <c r="D13" s="108" t="s">
        <v>50</v>
      </c>
      <c r="E13" s="64">
        <v>1000000</v>
      </c>
      <c r="G13" s="70">
        <v>2014</v>
      </c>
      <c r="H13" s="2">
        <f t="shared" si="13"/>
        <v>1000000</v>
      </c>
      <c r="I13" s="71">
        <f t="shared" si="0"/>
        <v>0</v>
      </c>
      <c r="J13" s="36">
        <f t="shared" si="0"/>
        <v>0</v>
      </c>
      <c r="K13" s="36">
        <f t="shared" si="0"/>
        <v>0</v>
      </c>
      <c r="L13" s="1"/>
      <c r="M13" s="70">
        <v>2012</v>
      </c>
      <c r="N13" s="35">
        <f t="shared" si="1"/>
        <v>2000000</v>
      </c>
      <c r="O13" s="71">
        <f t="shared" si="2"/>
        <v>0</v>
      </c>
      <c r="P13" s="36">
        <f t="shared" si="3"/>
        <v>0</v>
      </c>
      <c r="Q13" s="35">
        <f t="shared" si="4"/>
        <v>0</v>
      </c>
      <c r="R13" s="36">
        <f t="shared" si="5"/>
        <v>0</v>
      </c>
      <c r="T13" s="70">
        <v>2012</v>
      </c>
      <c r="U13" s="71">
        <f t="shared" si="6"/>
        <v>2000000</v>
      </c>
      <c r="V13" s="35">
        <f t="shared" si="7"/>
        <v>0</v>
      </c>
      <c r="W13" s="107">
        <f t="shared" si="14"/>
        <v>2000000</v>
      </c>
      <c r="X13" s="35">
        <f>'Treaty Experience'!F9</f>
        <v>74300000</v>
      </c>
      <c r="Y13" s="35">
        <f>'Treaty Experience'!K9+'Treaty Experience'!K35+'Treaty Experience'!K61</f>
        <v>8916000</v>
      </c>
      <c r="Z13" s="36">
        <f t="shared" si="15"/>
        <v>65384000</v>
      </c>
      <c r="AA13" s="104">
        <f t="shared" si="16"/>
        <v>2.6917900403768506E-2</v>
      </c>
      <c r="AB13" s="105">
        <f t="shared" si="17"/>
        <v>0</v>
      </c>
      <c r="AC13" s="66">
        <f t="shared" si="17"/>
        <v>3.0588523186100575E-2</v>
      </c>
      <c r="AE13" s="108"/>
      <c r="AJ13" s="108"/>
    </row>
    <row r="14" spans="2:39" x14ac:dyDescent="0.25">
      <c r="B14" s="70">
        <v>2014</v>
      </c>
      <c r="C14" s="108" t="s">
        <v>60</v>
      </c>
      <c r="D14" s="108" t="s">
        <v>1</v>
      </c>
      <c r="E14" s="64">
        <v>1000000</v>
      </c>
      <c r="G14" s="70">
        <v>2014</v>
      </c>
      <c r="H14" s="2">
        <f t="shared" si="13"/>
        <v>1000000</v>
      </c>
      <c r="I14" s="71">
        <f t="shared" si="0"/>
        <v>0</v>
      </c>
      <c r="J14" s="36">
        <f t="shared" si="0"/>
        <v>0</v>
      </c>
      <c r="K14" s="36">
        <f t="shared" si="0"/>
        <v>0</v>
      </c>
      <c r="L14" s="1"/>
      <c r="M14" s="70">
        <v>2013</v>
      </c>
      <c r="N14" s="35">
        <f t="shared" si="1"/>
        <v>0</v>
      </c>
      <c r="O14" s="71">
        <f t="shared" si="2"/>
        <v>0</v>
      </c>
      <c r="P14" s="36">
        <f t="shared" si="3"/>
        <v>0</v>
      </c>
      <c r="Q14" s="35">
        <f t="shared" si="4"/>
        <v>0</v>
      </c>
      <c r="R14" s="36">
        <f t="shared" si="5"/>
        <v>0</v>
      </c>
      <c r="T14" s="70">
        <v>2013</v>
      </c>
      <c r="U14" s="71">
        <f t="shared" si="6"/>
        <v>0</v>
      </c>
      <c r="V14" s="35">
        <f t="shared" si="7"/>
        <v>0</v>
      </c>
      <c r="W14" s="107">
        <f t="shared" si="14"/>
        <v>0</v>
      </c>
      <c r="X14" s="35">
        <f>'Treaty Experience'!F10</f>
        <v>76600000</v>
      </c>
      <c r="Y14" s="35">
        <f>'Treaty Experience'!K10+'Treaty Experience'!K36+'Treaty Experience'!K62</f>
        <v>9192000</v>
      </c>
      <c r="Z14" s="36">
        <f t="shared" si="15"/>
        <v>67408000</v>
      </c>
      <c r="AA14" s="104">
        <f t="shared" si="16"/>
        <v>0</v>
      </c>
      <c r="AB14" s="105">
        <f t="shared" si="17"/>
        <v>0</v>
      </c>
      <c r="AC14" s="66">
        <f t="shared" si="17"/>
        <v>0</v>
      </c>
      <c r="AE14" s="145"/>
      <c r="AF14" s="117" t="s">
        <v>70</v>
      </c>
      <c r="AG14" s="136"/>
      <c r="AH14" s="136"/>
      <c r="AJ14" s="145"/>
      <c r="AK14" s="117" t="s">
        <v>70</v>
      </c>
      <c r="AL14" s="136"/>
      <c r="AM14" s="136"/>
    </row>
    <row r="15" spans="2:39" x14ac:dyDescent="0.25">
      <c r="B15" s="70">
        <v>2015</v>
      </c>
      <c r="C15" s="108" t="s">
        <v>52</v>
      </c>
      <c r="D15" s="108" t="s">
        <v>50</v>
      </c>
      <c r="E15" s="64">
        <v>1000000</v>
      </c>
      <c r="G15" s="70">
        <v>2015</v>
      </c>
      <c r="H15" s="2">
        <f t="shared" si="13"/>
        <v>1000000</v>
      </c>
      <c r="I15" s="71">
        <f t="shared" si="0"/>
        <v>0</v>
      </c>
      <c r="J15" s="36">
        <f t="shared" si="0"/>
        <v>0</v>
      </c>
      <c r="K15" s="36">
        <f t="shared" si="0"/>
        <v>0</v>
      </c>
      <c r="L15" s="1"/>
      <c r="M15" s="70">
        <v>2014</v>
      </c>
      <c r="N15" s="35">
        <f t="shared" si="1"/>
        <v>2000000</v>
      </c>
      <c r="O15" s="71">
        <f t="shared" si="2"/>
        <v>0</v>
      </c>
      <c r="P15" s="36">
        <f t="shared" si="3"/>
        <v>0</v>
      </c>
      <c r="Q15" s="35">
        <f t="shared" si="4"/>
        <v>0</v>
      </c>
      <c r="R15" s="36">
        <f t="shared" si="5"/>
        <v>0</v>
      </c>
      <c r="T15" s="70">
        <v>2014</v>
      </c>
      <c r="U15" s="71">
        <f t="shared" si="6"/>
        <v>2000000</v>
      </c>
      <c r="V15" s="35">
        <f t="shared" si="7"/>
        <v>0</v>
      </c>
      <c r="W15" s="107">
        <f t="shared" si="14"/>
        <v>2000000</v>
      </c>
      <c r="X15" s="35">
        <f>'Treaty Experience'!F11</f>
        <v>79000000</v>
      </c>
      <c r="Y15" s="35">
        <f>'Treaty Experience'!K11+'Treaty Experience'!K37+'Treaty Experience'!K63</f>
        <v>9480000</v>
      </c>
      <c r="Z15" s="36">
        <f t="shared" si="15"/>
        <v>69520000</v>
      </c>
      <c r="AA15" s="104">
        <f t="shared" si="16"/>
        <v>2.5316455696202531E-2</v>
      </c>
      <c r="AB15" s="105">
        <f t="shared" si="17"/>
        <v>0</v>
      </c>
      <c r="AC15" s="66">
        <f t="shared" si="17"/>
        <v>2.8768699654775604E-2</v>
      </c>
      <c r="AE15" s="61" t="s">
        <v>49</v>
      </c>
      <c r="AF15" s="9" t="s">
        <v>66</v>
      </c>
      <c r="AG15" s="9" t="s">
        <v>81</v>
      </c>
      <c r="AH15" s="9" t="s">
        <v>82</v>
      </c>
      <c r="AJ15" s="61" t="s">
        <v>49</v>
      </c>
      <c r="AK15" s="9" t="s">
        <v>66</v>
      </c>
      <c r="AL15" s="9" t="s">
        <v>81</v>
      </c>
      <c r="AM15" s="9" t="s">
        <v>82</v>
      </c>
    </row>
    <row r="16" spans="2:39" x14ac:dyDescent="0.25">
      <c r="B16" s="70">
        <v>2015</v>
      </c>
      <c r="C16" s="108" t="s">
        <v>60</v>
      </c>
      <c r="D16" s="108" t="s">
        <v>47</v>
      </c>
      <c r="E16" s="64">
        <v>24000000</v>
      </c>
      <c r="G16" s="70">
        <v>2015</v>
      </c>
      <c r="H16" s="2">
        <f t="shared" si="13"/>
        <v>24000000</v>
      </c>
      <c r="I16" s="71">
        <f t="shared" si="0"/>
        <v>9000000</v>
      </c>
      <c r="J16" s="36">
        <f t="shared" si="0"/>
        <v>0</v>
      </c>
      <c r="K16" s="36">
        <f t="shared" si="0"/>
        <v>10000000</v>
      </c>
      <c r="L16" s="1"/>
      <c r="M16" s="70">
        <v>2015</v>
      </c>
      <c r="N16" s="35">
        <f t="shared" si="1"/>
        <v>25000000</v>
      </c>
      <c r="O16" s="71">
        <f t="shared" si="2"/>
        <v>9000000</v>
      </c>
      <c r="P16" s="36">
        <f t="shared" si="3"/>
        <v>0</v>
      </c>
      <c r="Q16" s="35">
        <f t="shared" si="4"/>
        <v>10000000</v>
      </c>
      <c r="R16" s="36">
        <f t="shared" si="5"/>
        <v>0</v>
      </c>
      <c r="T16" s="70">
        <v>2015</v>
      </c>
      <c r="U16" s="71">
        <f t="shared" si="6"/>
        <v>25000000</v>
      </c>
      <c r="V16" s="35">
        <f t="shared" si="7"/>
        <v>9000000</v>
      </c>
      <c r="W16" s="107">
        <f t="shared" si="14"/>
        <v>16000000</v>
      </c>
      <c r="X16" s="35">
        <f>'Treaty Experience'!F12</f>
        <v>81400000</v>
      </c>
      <c r="Y16" s="35">
        <f>'Treaty Experience'!K12+'Treaty Experience'!K38+'Treaty Experience'!K64</f>
        <v>11721600</v>
      </c>
      <c r="Z16" s="36">
        <f t="shared" si="15"/>
        <v>69678400</v>
      </c>
      <c r="AA16" s="104">
        <f t="shared" si="16"/>
        <v>0.30712530712530711</v>
      </c>
      <c r="AB16" s="105">
        <f t="shared" si="17"/>
        <v>0.76781326781326786</v>
      </c>
      <c r="AC16" s="66">
        <f t="shared" si="17"/>
        <v>0.22962639785069691</v>
      </c>
      <c r="AE16" s="122" t="s">
        <v>51</v>
      </c>
      <c r="AF16" s="35">
        <f>SUMIFS($E$9:$E$42, $D$9:$D$42, $AE16)</f>
        <v>49000000</v>
      </c>
      <c r="AG16" s="35">
        <f>SUMIFS($I$9:$I$42, $D$9:$D$42, $AE16)</f>
        <v>7000000</v>
      </c>
      <c r="AH16" s="36">
        <f>SUMIFS($J$9:$J$42, $D$9:$D$42, $AE16)</f>
        <v>0</v>
      </c>
      <c r="AJ16" s="122" t="s">
        <v>51</v>
      </c>
      <c r="AK16" s="35">
        <f>AF16/15</f>
        <v>3266666.6666666665</v>
      </c>
      <c r="AL16" s="35">
        <f t="shared" ref="AL16" si="19">AG16/15</f>
        <v>466666.66666666669</v>
      </c>
      <c r="AM16" s="36">
        <f t="shared" ref="AM16" si="20">AH16/15</f>
        <v>0</v>
      </c>
    </row>
    <row r="17" spans="2:39" x14ac:dyDescent="0.25">
      <c r="B17" s="70">
        <v>2016</v>
      </c>
      <c r="C17" s="108" t="s">
        <v>60</v>
      </c>
      <c r="D17" s="108" t="s">
        <v>1</v>
      </c>
      <c r="E17" s="64">
        <v>4000000</v>
      </c>
      <c r="G17" s="70">
        <v>2016</v>
      </c>
      <c r="H17" s="2">
        <f t="shared" si="13"/>
        <v>4000000</v>
      </c>
      <c r="I17" s="71">
        <f t="shared" si="0"/>
        <v>0</v>
      </c>
      <c r="J17" s="36">
        <f t="shared" si="0"/>
        <v>0</v>
      </c>
      <c r="K17" s="36">
        <f t="shared" si="0"/>
        <v>0</v>
      </c>
      <c r="L17" s="1"/>
      <c r="M17" s="70">
        <v>2016</v>
      </c>
      <c r="N17" s="35">
        <f t="shared" si="1"/>
        <v>4000000</v>
      </c>
      <c r="O17" s="71">
        <f t="shared" si="2"/>
        <v>0</v>
      </c>
      <c r="P17" s="36">
        <f t="shared" si="3"/>
        <v>0</v>
      </c>
      <c r="Q17" s="35">
        <f t="shared" si="4"/>
        <v>0</v>
      </c>
      <c r="R17" s="36">
        <f t="shared" si="5"/>
        <v>0</v>
      </c>
      <c r="T17" s="70">
        <v>2016</v>
      </c>
      <c r="U17" s="71">
        <f t="shared" si="6"/>
        <v>4000000</v>
      </c>
      <c r="V17" s="35">
        <f t="shared" si="7"/>
        <v>0</v>
      </c>
      <c r="W17" s="107">
        <f t="shared" si="14"/>
        <v>4000000</v>
      </c>
      <c r="X17" s="35">
        <f>'Treaty Experience'!F13</f>
        <v>89500000</v>
      </c>
      <c r="Y17" s="35">
        <f>'Treaty Experience'!K13+'Treaty Experience'!K39+'Treaty Experience'!K65</f>
        <v>10740000</v>
      </c>
      <c r="Z17" s="36">
        <f t="shared" si="15"/>
        <v>78760000</v>
      </c>
      <c r="AA17" s="104">
        <f t="shared" si="16"/>
        <v>4.4692737430167599E-2</v>
      </c>
      <c r="AB17" s="105">
        <f t="shared" si="17"/>
        <v>0</v>
      </c>
      <c r="AC17" s="66">
        <f t="shared" si="17"/>
        <v>5.0787201625190452E-2</v>
      </c>
      <c r="AE17" s="122" t="s">
        <v>1</v>
      </c>
      <c r="AF17" s="35">
        <f>SUMIFS($E$9:$E$42, $D$9:$D$42, $AE17)</f>
        <v>61000000</v>
      </c>
      <c r="AG17" s="35">
        <f>SUMIFS($I$9:$I$42, $D$9:$D$42, $AE17)</f>
        <v>0</v>
      </c>
      <c r="AH17" s="36">
        <f>SUMIFS($J$9:$J$42, $D$9:$D$42, $AE17)</f>
        <v>0</v>
      </c>
      <c r="AJ17" s="122" t="s">
        <v>1</v>
      </c>
      <c r="AK17" s="35">
        <f t="shared" ref="AK17:AK21" si="21">AF17/15</f>
        <v>4066666.6666666665</v>
      </c>
      <c r="AL17" s="35">
        <f t="shared" ref="AL17:AL21" si="22">AG17/15</f>
        <v>0</v>
      </c>
      <c r="AM17" s="36">
        <f t="shared" ref="AM17:AM21" si="23">AH17/15</f>
        <v>0</v>
      </c>
    </row>
    <row r="18" spans="2:39" x14ac:dyDescent="0.25">
      <c r="B18" s="70">
        <v>2017</v>
      </c>
      <c r="C18" s="108" t="s">
        <v>60</v>
      </c>
      <c r="D18" s="108" t="s">
        <v>47</v>
      </c>
      <c r="E18" s="64">
        <v>10000000</v>
      </c>
      <c r="G18" s="70">
        <v>2017</v>
      </c>
      <c r="H18" s="2">
        <f t="shared" si="13"/>
        <v>10000000</v>
      </c>
      <c r="I18" s="71">
        <f t="shared" si="0"/>
        <v>0</v>
      </c>
      <c r="J18" s="36">
        <f t="shared" si="0"/>
        <v>0</v>
      </c>
      <c r="K18" s="36">
        <f t="shared" si="0"/>
        <v>5000000</v>
      </c>
      <c r="L18" s="1"/>
      <c r="M18" s="70">
        <v>2017</v>
      </c>
      <c r="N18" s="35">
        <f t="shared" si="1"/>
        <v>98000000</v>
      </c>
      <c r="O18" s="71">
        <f t="shared" si="2"/>
        <v>0</v>
      </c>
      <c r="P18" s="36">
        <f t="shared" si="3"/>
        <v>0</v>
      </c>
      <c r="Q18" s="35">
        <f t="shared" si="4"/>
        <v>58000000</v>
      </c>
      <c r="R18" s="36">
        <f t="shared" si="5"/>
        <v>38000000</v>
      </c>
      <c r="T18" s="70">
        <v>2017</v>
      </c>
      <c r="U18" s="71">
        <f t="shared" si="6"/>
        <v>98000000</v>
      </c>
      <c r="V18" s="35">
        <f t="shared" si="7"/>
        <v>38000000</v>
      </c>
      <c r="W18" s="107">
        <f t="shared" si="14"/>
        <v>60000000</v>
      </c>
      <c r="X18" s="35">
        <f>'Treaty Experience'!F14</f>
        <v>99400000</v>
      </c>
      <c r="Y18" s="35">
        <f>'Treaty Experience'!K14+'Treaty Experience'!K40+'Treaty Experience'!K66</f>
        <v>11928000</v>
      </c>
      <c r="Z18" s="36">
        <f t="shared" si="15"/>
        <v>87472000</v>
      </c>
      <c r="AA18" s="104">
        <f t="shared" si="16"/>
        <v>0.9859154929577465</v>
      </c>
      <c r="AB18" s="105">
        <f t="shared" si="17"/>
        <v>3.1857813547954392</v>
      </c>
      <c r="AC18" s="66">
        <f t="shared" si="17"/>
        <v>0.68593378452533382</v>
      </c>
      <c r="AE18" s="122" t="s">
        <v>50</v>
      </c>
      <c r="AF18" s="35">
        <f>SUMIFS($E$9:$E$42, $D$9:$D$42, $AE18)</f>
        <v>153000000</v>
      </c>
      <c r="AG18" s="35">
        <f>SUMIFS($I$9:$I$42, $D$9:$D$42, $AE18)</f>
        <v>22000000</v>
      </c>
      <c r="AH18" s="36">
        <f>SUMIFS($J$9:$J$42, $D$9:$D$42, $AE18)</f>
        <v>8000000</v>
      </c>
      <c r="AJ18" s="122" t="s">
        <v>50</v>
      </c>
      <c r="AK18" s="35">
        <f t="shared" si="21"/>
        <v>10200000</v>
      </c>
      <c r="AL18" s="35">
        <f t="shared" si="22"/>
        <v>1466666.6666666667</v>
      </c>
      <c r="AM18" s="36">
        <f t="shared" si="23"/>
        <v>533333.33333333337</v>
      </c>
    </row>
    <row r="19" spans="2:39" x14ac:dyDescent="0.25">
      <c r="B19" s="70">
        <v>2017</v>
      </c>
      <c r="C19" s="108" t="s">
        <v>52</v>
      </c>
      <c r="D19" s="108" t="s">
        <v>1</v>
      </c>
      <c r="E19" s="64">
        <v>15000000</v>
      </c>
      <c r="G19" s="70">
        <v>2017</v>
      </c>
      <c r="H19" s="2">
        <f t="shared" si="13"/>
        <v>15000000</v>
      </c>
      <c r="I19" s="71">
        <f t="shared" si="0"/>
        <v>0</v>
      </c>
      <c r="J19" s="36">
        <f t="shared" si="0"/>
        <v>0</v>
      </c>
      <c r="K19" s="36">
        <f t="shared" si="0"/>
        <v>10000000</v>
      </c>
      <c r="L19" s="1"/>
      <c r="M19" s="70">
        <v>2018</v>
      </c>
      <c r="N19" s="35">
        <f t="shared" si="1"/>
        <v>12000000</v>
      </c>
      <c r="O19" s="71">
        <f t="shared" si="2"/>
        <v>0</v>
      </c>
      <c r="P19" s="36">
        <f t="shared" si="3"/>
        <v>0</v>
      </c>
      <c r="Q19" s="35">
        <f t="shared" si="4"/>
        <v>7000000</v>
      </c>
      <c r="R19" s="36">
        <f t="shared" si="5"/>
        <v>0</v>
      </c>
      <c r="T19" s="70">
        <v>2018</v>
      </c>
      <c r="U19" s="71">
        <f t="shared" si="6"/>
        <v>12000000</v>
      </c>
      <c r="V19" s="35">
        <f t="shared" si="7"/>
        <v>0</v>
      </c>
      <c r="W19" s="107">
        <f t="shared" si="14"/>
        <v>12000000</v>
      </c>
      <c r="X19" s="35">
        <f>'Treaty Experience'!F15</f>
        <v>105700000</v>
      </c>
      <c r="Y19" s="35">
        <f>'Treaty Experience'!K15+'Treaty Experience'!K41+'Treaty Experience'!K67</f>
        <v>12684000</v>
      </c>
      <c r="Z19" s="36">
        <f t="shared" si="15"/>
        <v>93016000</v>
      </c>
      <c r="AA19" s="104">
        <f t="shared" si="16"/>
        <v>0.11352885525070956</v>
      </c>
      <c r="AB19" s="105">
        <f t="shared" si="17"/>
        <v>0</v>
      </c>
      <c r="AC19" s="66">
        <f t="shared" si="17"/>
        <v>0.12901006278489721</v>
      </c>
      <c r="AE19" s="122" t="s">
        <v>46</v>
      </c>
      <c r="AF19" s="35">
        <f>SUMIFS($E$9:$E$42, $D$9:$D$42, $AE19)</f>
        <v>2000000</v>
      </c>
      <c r="AG19" s="35">
        <f>SUMIFS($I$9:$I$42, $D$9:$D$42, $AE19)</f>
        <v>0</v>
      </c>
      <c r="AH19" s="36">
        <f>SUMIFS($J$9:$J$42, $D$9:$D$42, $AE19)</f>
        <v>0</v>
      </c>
      <c r="AJ19" s="122" t="s">
        <v>46</v>
      </c>
      <c r="AK19" s="35">
        <f t="shared" si="21"/>
        <v>133333.33333333334</v>
      </c>
      <c r="AL19" s="35">
        <f t="shared" si="22"/>
        <v>0</v>
      </c>
      <c r="AM19" s="36">
        <f t="shared" si="23"/>
        <v>0</v>
      </c>
    </row>
    <row r="20" spans="2:39" x14ac:dyDescent="0.25">
      <c r="B20" s="70">
        <v>2017</v>
      </c>
      <c r="C20" s="108" t="s">
        <v>52</v>
      </c>
      <c r="D20" s="108" t="s">
        <v>50</v>
      </c>
      <c r="E20" s="64">
        <v>14000000</v>
      </c>
      <c r="G20" s="70">
        <v>2017</v>
      </c>
      <c r="H20" s="2">
        <f t="shared" si="13"/>
        <v>14000000</v>
      </c>
      <c r="I20" s="71">
        <f t="shared" si="0"/>
        <v>0</v>
      </c>
      <c r="J20" s="36">
        <f t="shared" si="0"/>
        <v>0</v>
      </c>
      <c r="K20" s="36">
        <f t="shared" si="0"/>
        <v>9000000</v>
      </c>
      <c r="L20" s="1"/>
      <c r="M20" s="70">
        <v>2019</v>
      </c>
      <c r="N20" s="35">
        <f t="shared" si="1"/>
        <v>7000000</v>
      </c>
      <c r="O20" s="71">
        <f t="shared" si="2"/>
        <v>0</v>
      </c>
      <c r="P20" s="36">
        <f t="shared" si="3"/>
        <v>0</v>
      </c>
      <c r="Q20" s="35">
        <f t="shared" si="4"/>
        <v>0</v>
      </c>
      <c r="R20" s="36">
        <f t="shared" si="5"/>
        <v>0</v>
      </c>
      <c r="T20" s="70">
        <v>2019</v>
      </c>
      <c r="U20" s="71">
        <f t="shared" si="6"/>
        <v>7000000</v>
      </c>
      <c r="V20" s="35">
        <f t="shared" si="7"/>
        <v>0</v>
      </c>
      <c r="W20" s="107">
        <f t="shared" si="14"/>
        <v>7000000</v>
      </c>
      <c r="X20" s="35">
        <f>'Treaty Experience'!F16</f>
        <v>110100000</v>
      </c>
      <c r="Y20" s="35">
        <f>'Treaty Experience'!K16+'Treaty Experience'!K42+'Treaty Experience'!K68</f>
        <v>13212000</v>
      </c>
      <c r="Z20" s="36">
        <f t="shared" si="15"/>
        <v>96888000</v>
      </c>
      <c r="AA20" s="104">
        <f t="shared" si="16"/>
        <v>6.3578564940962756E-2</v>
      </c>
      <c r="AB20" s="105">
        <f t="shared" si="17"/>
        <v>0</v>
      </c>
      <c r="AC20" s="66">
        <f t="shared" si="17"/>
        <v>7.2248369251094041E-2</v>
      </c>
      <c r="AE20" s="122" t="s">
        <v>47</v>
      </c>
      <c r="AF20" s="35">
        <f>SUMIFS($E$9:$E$42, $D$9:$D$42, $AE20)</f>
        <v>84000000</v>
      </c>
      <c r="AG20" s="35">
        <f>SUMIFS($I$9:$I$42, $D$9:$D$42, $AE20)</f>
        <v>24000000</v>
      </c>
      <c r="AH20" s="36">
        <f>SUMIFS($J$9:$J$42, $D$9:$D$42, $AE20)</f>
        <v>8000000</v>
      </c>
      <c r="AJ20" s="122" t="s">
        <v>47</v>
      </c>
      <c r="AK20" s="35">
        <f t="shared" si="21"/>
        <v>5600000</v>
      </c>
      <c r="AL20" s="35">
        <f t="shared" si="22"/>
        <v>1600000</v>
      </c>
      <c r="AM20" s="36">
        <f t="shared" si="23"/>
        <v>533333.33333333337</v>
      </c>
    </row>
    <row r="21" spans="2:39" x14ac:dyDescent="0.25">
      <c r="B21" s="70">
        <v>2017</v>
      </c>
      <c r="C21" s="108" t="s">
        <v>16</v>
      </c>
      <c r="D21" s="108" t="s">
        <v>50</v>
      </c>
      <c r="E21" s="64">
        <v>14000000</v>
      </c>
      <c r="G21" s="70">
        <v>2017</v>
      </c>
      <c r="H21" s="2">
        <f t="shared" si="13"/>
        <v>14000000</v>
      </c>
      <c r="I21" s="71">
        <f t="shared" si="0"/>
        <v>0</v>
      </c>
      <c r="J21" s="36">
        <f t="shared" si="0"/>
        <v>0</v>
      </c>
      <c r="K21" s="36">
        <f t="shared" si="0"/>
        <v>9000000</v>
      </c>
      <c r="L21" s="1"/>
      <c r="M21" s="70">
        <v>2020</v>
      </c>
      <c r="N21" s="35">
        <f t="shared" si="1"/>
        <v>53000000</v>
      </c>
      <c r="O21" s="71">
        <f t="shared" si="2"/>
        <v>7000000</v>
      </c>
      <c r="P21" s="36">
        <f t="shared" si="3"/>
        <v>0</v>
      </c>
      <c r="Q21" s="35">
        <f t="shared" si="4"/>
        <v>25000000</v>
      </c>
      <c r="R21" s="36">
        <f t="shared" si="5"/>
        <v>5000000</v>
      </c>
      <c r="T21" s="70">
        <v>2020</v>
      </c>
      <c r="U21" s="71">
        <f t="shared" si="6"/>
        <v>53000000</v>
      </c>
      <c r="V21" s="35">
        <f t="shared" si="7"/>
        <v>12000000</v>
      </c>
      <c r="W21" s="107">
        <f t="shared" si="14"/>
        <v>41000000</v>
      </c>
      <c r="X21" s="35">
        <f>'Treaty Experience'!F17</f>
        <v>110100000</v>
      </c>
      <c r="Y21" s="35">
        <f>'Treaty Experience'!K17+'Treaty Experience'!K43+'Treaty Experience'!K69</f>
        <v>15267200</v>
      </c>
      <c r="Z21" s="36">
        <f t="shared" si="15"/>
        <v>94832800</v>
      </c>
      <c r="AA21" s="104">
        <f t="shared" si="16"/>
        <v>0.48138056312443234</v>
      </c>
      <c r="AB21" s="105">
        <f t="shared" si="17"/>
        <v>0.78599874240201217</v>
      </c>
      <c r="AC21" s="66">
        <f t="shared" si="17"/>
        <v>0.43233986553175696</v>
      </c>
      <c r="AE21" s="142" t="s">
        <v>0</v>
      </c>
      <c r="AF21" s="109">
        <f>SUM(AF16:AF20)</f>
        <v>349000000</v>
      </c>
      <c r="AG21" s="109">
        <f>SUM(AG16:AG20)</f>
        <v>53000000</v>
      </c>
      <c r="AH21" s="99">
        <f>SUM(AH16:AH20)</f>
        <v>16000000</v>
      </c>
      <c r="AJ21" s="142" t="s">
        <v>0</v>
      </c>
      <c r="AK21" s="109">
        <f t="shared" si="21"/>
        <v>23266666.666666668</v>
      </c>
      <c r="AL21" s="109">
        <f t="shared" si="22"/>
        <v>3533333.3333333335</v>
      </c>
      <c r="AM21" s="99">
        <f t="shared" si="23"/>
        <v>1066666.6666666667</v>
      </c>
    </row>
    <row r="22" spans="2:39" x14ac:dyDescent="0.25">
      <c r="B22" s="70">
        <v>2017</v>
      </c>
      <c r="C22" s="108" t="s">
        <v>60</v>
      </c>
      <c r="D22" s="108" t="s">
        <v>47</v>
      </c>
      <c r="E22" s="64">
        <v>8000000</v>
      </c>
      <c r="G22" s="70">
        <v>2017</v>
      </c>
      <c r="H22" s="2">
        <f t="shared" ref="H22:H25" si="24">E22</f>
        <v>8000000</v>
      </c>
      <c r="I22" s="71">
        <f t="shared" si="0"/>
        <v>0</v>
      </c>
      <c r="J22" s="36">
        <f t="shared" si="0"/>
        <v>0</v>
      </c>
      <c r="K22" s="36">
        <f t="shared" si="0"/>
        <v>3000000</v>
      </c>
      <c r="L22" s="1"/>
      <c r="M22" s="70">
        <v>2021</v>
      </c>
      <c r="N22" s="35">
        <f t="shared" si="1"/>
        <v>56000000</v>
      </c>
      <c r="O22" s="71">
        <f t="shared" si="2"/>
        <v>15000000</v>
      </c>
      <c r="P22" s="36">
        <f t="shared" si="3"/>
        <v>8000000</v>
      </c>
      <c r="Q22" s="35">
        <f t="shared" si="4"/>
        <v>19000000</v>
      </c>
      <c r="R22" s="36">
        <f t="shared" si="5"/>
        <v>0</v>
      </c>
      <c r="T22" s="70">
        <v>2021</v>
      </c>
      <c r="U22" s="71">
        <f t="shared" si="6"/>
        <v>56000000</v>
      </c>
      <c r="V22" s="35">
        <f t="shared" si="7"/>
        <v>23000000</v>
      </c>
      <c r="W22" s="107">
        <f t="shared" si="14"/>
        <v>33000000</v>
      </c>
      <c r="X22" s="35">
        <f>'Treaty Experience'!F18</f>
        <v>111200000</v>
      </c>
      <c r="Y22" s="35">
        <f>'Treaty Experience'!K18+'Treaty Experience'!K44+'Treaty Experience'!K70</f>
        <v>18978133.333333332</v>
      </c>
      <c r="Z22" s="36">
        <f t="shared" si="15"/>
        <v>92221866.666666672</v>
      </c>
      <c r="AA22" s="104">
        <f t="shared" si="16"/>
        <v>0.50359712230215825</v>
      </c>
      <c r="AB22" s="105">
        <f t="shared" si="17"/>
        <v>1.2119210881294964</v>
      </c>
      <c r="AC22" s="66">
        <f t="shared" si="17"/>
        <v>0.3578327048971755</v>
      </c>
    </row>
    <row r="23" spans="2:39" x14ac:dyDescent="0.25">
      <c r="B23" s="70">
        <v>2017</v>
      </c>
      <c r="C23" s="108" t="s">
        <v>52</v>
      </c>
      <c r="D23" s="108" t="s">
        <v>1</v>
      </c>
      <c r="E23" s="64">
        <v>14000000</v>
      </c>
      <c r="G23" s="70">
        <v>2017</v>
      </c>
      <c r="H23" s="2">
        <f t="shared" si="24"/>
        <v>14000000</v>
      </c>
      <c r="I23" s="71">
        <f t="shared" si="0"/>
        <v>0</v>
      </c>
      <c r="J23" s="36">
        <f t="shared" si="0"/>
        <v>0</v>
      </c>
      <c r="K23" s="36">
        <f t="shared" si="0"/>
        <v>9000000</v>
      </c>
      <c r="L23" s="1"/>
      <c r="M23" s="124">
        <v>2022</v>
      </c>
      <c r="N23" s="38">
        <f t="shared" si="1"/>
        <v>47000000</v>
      </c>
      <c r="O23" s="72">
        <f t="shared" si="2"/>
        <v>7000000</v>
      </c>
      <c r="P23" s="39">
        <f t="shared" si="3"/>
        <v>0</v>
      </c>
      <c r="Q23" s="38">
        <f t="shared" si="4"/>
        <v>21000000</v>
      </c>
      <c r="R23" s="39">
        <f t="shared" si="5"/>
        <v>1000000</v>
      </c>
      <c r="T23" s="70">
        <v>2022</v>
      </c>
      <c r="U23" s="71">
        <f t="shared" si="6"/>
        <v>47000000</v>
      </c>
      <c r="V23" s="35">
        <f t="shared" si="7"/>
        <v>8000000</v>
      </c>
      <c r="W23" s="107">
        <f t="shared" si="14"/>
        <v>39000000</v>
      </c>
      <c r="X23" s="35">
        <f>'Treaty Experience'!F19</f>
        <v>116999999.99999999</v>
      </c>
      <c r="Y23" s="35">
        <f>'Treaty Experience'!K19+'Treaty Experience'!K45+'Treaty Experience'!K71</f>
        <v>16223999.999999996</v>
      </c>
      <c r="Z23" s="36">
        <f t="shared" si="15"/>
        <v>100775999.99999999</v>
      </c>
      <c r="AA23" s="104">
        <f t="shared" si="16"/>
        <v>0.40170940170940178</v>
      </c>
      <c r="AB23" s="105">
        <f t="shared" si="17"/>
        <v>0.49309664694280092</v>
      </c>
      <c r="AC23" s="66">
        <f t="shared" si="17"/>
        <v>0.38699690402476788</v>
      </c>
    </row>
    <row r="24" spans="2:39" x14ac:dyDescent="0.25">
      <c r="B24" s="70">
        <v>2017</v>
      </c>
      <c r="C24" s="108" t="s">
        <v>52</v>
      </c>
      <c r="D24" s="108" t="s">
        <v>50</v>
      </c>
      <c r="E24" s="64">
        <v>12000000</v>
      </c>
      <c r="G24" s="70">
        <v>2017</v>
      </c>
      <c r="H24" s="2">
        <f t="shared" si="24"/>
        <v>12000000</v>
      </c>
      <c r="I24" s="71">
        <f t="shared" si="0"/>
        <v>0</v>
      </c>
      <c r="J24" s="36">
        <f t="shared" si="0"/>
        <v>0</v>
      </c>
      <c r="K24" s="36">
        <f t="shared" si="0"/>
        <v>7000000</v>
      </c>
      <c r="L24" s="1"/>
      <c r="M24" s="142" t="s">
        <v>39</v>
      </c>
      <c r="N24" s="109">
        <f t="shared" ref="N24" si="25">SUM(N9:N23)</f>
        <v>349000000</v>
      </c>
      <c r="O24" s="130">
        <f t="shared" ref="O24:R24" si="26">SUM(O9:O23)</f>
        <v>53000000</v>
      </c>
      <c r="P24" s="99">
        <f t="shared" si="26"/>
        <v>16000000</v>
      </c>
      <c r="Q24" s="109">
        <f t="shared" si="26"/>
        <v>150000000</v>
      </c>
      <c r="R24" s="99">
        <f t="shared" si="26"/>
        <v>44000000</v>
      </c>
      <c r="T24" s="142" t="s">
        <v>39</v>
      </c>
      <c r="U24" s="130">
        <f t="shared" ref="U24:Z24" si="27">SUM(U9:U23)</f>
        <v>349000000</v>
      </c>
      <c r="V24" s="109">
        <f t="shared" si="27"/>
        <v>113000000</v>
      </c>
      <c r="W24" s="99">
        <f t="shared" si="27"/>
        <v>236000000</v>
      </c>
      <c r="X24" s="109">
        <f t="shared" si="27"/>
        <v>1310700000</v>
      </c>
      <c r="Y24" s="109">
        <f t="shared" si="27"/>
        <v>171948266.66666669</v>
      </c>
      <c r="Z24" s="109">
        <f t="shared" si="27"/>
        <v>1138751733.3333333</v>
      </c>
      <c r="AA24" s="143">
        <f t="shared" ref="AA24" si="28">U24/X24</f>
        <v>0.26626993209735256</v>
      </c>
      <c r="AB24" s="144">
        <f t="shared" ref="AB24" si="29">V24/Y24</f>
        <v>0.65717440594535403</v>
      </c>
      <c r="AC24" s="132">
        <f t="shared" ref="AC24" si="30">W24/Z24</f>
        <v>0.20724447049506139</v>
      </c>
    </row>
    <row r="25" spans="2:39" x14ac:dyDescent="0.25">
      <c r="B25" s="70">
        <v>2017</v>
      </c>
      <c r="C25" s="108" t="s">
        <v>16</v>
      </c>
      <c r="D25" s="108" t="s">
        <v>51</v>
      </c>
      <c r="E25" s="64">
        <v>11000000</v>
      </c>
      <c r="G25" s="70">
        <v>2017</v>
      </c>
      <c r="H25" s="2">
        <f t="shared" si="24"/>
        <v>11000000</v>
      </c>
      <c r="I25" s="71">
        <f t="shared" si="0"/>
        <v>0</v>
      </c>
      <c r="J25" s="36">
        <f t="shared" si="0"/>
        <v>0</v>
      </c>
      <c r="K25" s="36">
        <f t="shared" si="0"/>
        <v>6000000</v>
      </c>
      <c r="L25" s="1"/>
      <c r="M25" s="122" t="s">
        <v>73</v>
      </c>
      <c r="N25" s="35">
        <f>AVERAGE(N9:N23)</f>
        <v>23266666.666666668</v>
      </c>
      <c r="O25" s="71">
        <f>AVERAGE(O9:O23)</f>
        <v>3533333.3333333335</v>
      </c>
      <c r="P25" s="36">
        <f>AVERAGE(P9:P23)</f>
        <v>1066666.6666666667</v>
      </c>
      <c r="Q25" s="35">
        <f>AVERAGE(Q9:Q23)</f>
        <v>10000000</v>
      </c>
      <c r="R25" s="36">
        <f>AVERAGE(R9:R23)</f>
        <v>2933333.3333333335</v>
      </c>
      <c r="T25" s="122" t="s">
        <v>73</v>
      </c>
      <c r="U25" s="71">
        <f>AVERAGE(U9:U23)</f>
        <v>23266666.666666668</v>
      </c>
      <c r="V25" s="35">
        <f t="shared" ref="V25:Z25" si="31">AVERAGE(V9:V23)</f>
        <v>7533333.333333333</v>
      </c>
      <c r="W25" s="36">
        <f t="shared" si="31"/>
        <v>15733333.333333334</v>
      </c>
      <c r="X25" s="35">
        <f t="shared" si="31"/>
        <v>87380000</v>
      </c>
      <c r="Y25" s="35">
        <f t="shared" si="31"/>
        <v>11463217.77777778</v>
      </c>
      <c r="Z25" s="35">
        <f t="shared" si="31"/>
        <v>75916782.222222224</v>
      </c>
      <c r="AA25" s="104">
        <f t="shared" ref="AA25:AA28" si="32">U25/X25</f>
        <v>0.26626993209735256</v>
      </c>
      <c r="AB25" s="105">
        <f t="shared" ref="AB25:AB28" si="33">V25/Y25</f>
        <v>0.65717440594535392</v>
      </c>
      <c r="AC25" s="66">
        <f t="shared" ref="AC25:AC28" si="34">W25/Z25</f>
        <v>0.20724447049506137</v>
      </c>
    </row>
    <row r="26" spans="2:39" x14ac:dyDescent="0.25">
      <c r="B26" s="70">
        <v>2018</v>
      </c>
      <c r="C26" s="108" t="s">
        <v>60</v>
      </c>
      <c r="D26" s="108" t="s">
        <v>1</v>
      </c>
      <c r="E26" s="64">
        <v>12000000</v>
      </c>
      <c r="G26" s="70">
        <v>2018</v>
      </c>
      <c r="H26" s="2">
        <f t="shared" si="13"/>
        <v>12000000</v>
      </c>
      <c r="I26" s="71">
        <f t="shared" si="0"/>
        <v>0</v>
      </c>
      <c r="J26" s="36">
        <f t="shared" si="0"/>
        <v>0</v>
      </c>
      <c r="K26" s="36">
        <f t="shared" si="0"/>
        <v>7000000</v>
      </c>
      <c r="L26" s="1"/>
      <c r="M26" s="122" t="s">
        <v>74</v>
      </c>
      <c r="N26" s="35">
        <f>AVERAGE(N14:N23)</f>
        <v>30400000</v>
      </c>
      <c r="O26" s="71">
        <f>AVERAGE(O14:O23)</f>
        <v>3800000</v>
      </c>
      <c r="P26" s="36">
        <f>AVERAGE(P14:P23)</f>
        <v>800000</v>
      </c>
      <c r="Q26" s="35">
        <f>AVERAGE(Q14:Q23)</f>
        <v>14000000</v>
      </c>
      <c r="R26" s="36">
        <f>AVERAGE(R14:R23)</f>
        <v>4400000</v>
      </c>
      <c r="T26" s="122" t="s">
        <v>74</v>
      </c>
      <c r="U26" s="71">
        <f>AVERAGE(U14:U23)</f>
        <v>30400000</v>
      </c>
      <c r="V26" s="35">
        <f t="shared" ref="V26:Z26" si="35">AVERAGE(V14:V23)</f>
        <v>9000000</v>
      </c>
      <c r="W26" s="36">
        <f t="shared" si="35"/>
        <v>21400000</v>
      </c>
      <c r="X26" s="35">
        <f t="shared" si="35"/>
        <v>98000000</v>
      </c>
      <c r="Y26" s="35">
        <f t="shared" si="35"/>
        <v>12942693.333333332</v>
      </c>
      <c r="Z26" s="35">
        <f t="shared" si="35"/>
        <v>85057306.666666657</v>
      </c>
      <c r="AA26" s="104">
        <f t="shared" si="32"/>
        <v>0.31020408163265306</v>
      </c>
      <c r="AB26" s="105">
        <f t="shared" si="33"/>
        <v>0.69537303930557481</v>
      </c>
      <c r="AC26" s="66">
        <f t="shared" si="34"/>
        <v>0.25159508146507659</v>
      </c>
    </row>
    <row r="27" spans="2:39" x14ac:dyDescent="0.25">
      <c r="B27" s="70">
        <v>2019</v>
      </c>
      <c r="C27" s="108" t="s">
        <v>16</v>
      </c>
      <c r="D27" s="108" t="s">
        <v>51</v>
      </c>
      <c r="E27" s="64">
        <v>1000000</v>
      </c>
      <c r="G27" s="70">
        <v>2019</v>
      </c>
      <c r="H27" s="2">
        <f t="shared" si="13"/>
        <v>1000000</v>
      </c>
      <c r="I27" s="71">
        <f t="shared" si="0"/>
        <v>0</v>
      </c>
      <c r="J27" s="36">
        <f t="shared" si="0"/>
        <v>0</v>
      </c>
      <c r="K27" s="36">
        <f t="shared" si="0"/>
        <v>0</v>
      </c>
      <c r="L27" s="1"/>
      <c r="M27" s="122" t="s">
        <v>75</v>
      </c>
      <c r="N27" s="35">
        <f>AVERAGE(N17:N23)</f>
        <v>39571428.571428575</v>
      </c>
      <c r="O27" s="71">
        <f>AVERAGE(O17:O23)</f>
        <v>4142857.1428571427</v>
      </c>
      <c r="P27" s="36">
        <f>AVERAGE(P17:P23)</f>
        <v>1142857.142857143</v>
      </c>
      <c r="Q27" s="35">
        <f>AVERAGE(Q17:Q23)</f>
        <v>18571428.571428571</v>
      </c>
      <c r="R27" s="36">
        <f>AVERAGE(R17:R23)</f>
        <v>6285714.2857142854</v>
      </c>
      <c r="T27" s="122" t="s">
        <v>75</v>
      </c>
      <c r="U27" s="71">
        <f>AVERAGE(U17:U23)</f>
        <v>39571428.571428575</v>
      </c>
      <c r="V27" s="35">
        <f t="shared" ref="V27:Z27" si="36">AVERAGE(V17:V23)</f>
        <v>11571428.571428571</v>
      </c>
      <c r="W27" s="36">
        <f t="shared" si="36"/>
        <v>28000000</v>
      </c>
      <c r="X27" s="35">
        <f t="shared" si="36"/>
        <v>106142857.14285715</v>
      </c>
      <c r="Y27" s="35">
        <f t="shared" si="36"/>
        <v>14147619.047619047</v>
      </c>
      <c r="Z27" s="35">
        <f t="shared" si="36"/>
        <v>91995238.09523809</v>
      </c>
      <c r="AA27" s="104">
        <f t="shared" si="32"/>
        <v>0.37281292059219384</v>
      </c>
      <c r="AB27" s="105">
        <f t="shared" si="33"/>
        <v>0.81790642881184783</v>
      </c>
      <c r="AC27" s="66">
        <f t="shared" si="34"/>
        <v>0.30436357989543972</v>
      </c>
    </row>
    <row r="28" spans="2:39" x14ac:dyDescent="0.25">
      <c r="B28" s="70">
        <v>2019</v>
      </c>
      <c r="C28" s="108" t="s">
        <v>52</v>
      </c>
      <c r="D28" s="108" t="s">
        <v>50</v>
      </c>
      <c r="E28" s="64">
        <v>3000000</v>
      </c>
      <c r="G28" s="70">
        <v>2019</v>
      </c>
      <c r="H28" s="2">
        <f t="shared" si="13"/>
        <v>3000000</v>
      </c>
      <c r="I28" s="71">
        <f t="shared" si="0"/>
        <v>0</v>
      </c>
      <c r="J28" s="36">
        <f t="shared" si="0"/>
        <v>0</v>
      </c>
      <c r="K28" s="36">
        <f t="shared" si="0"/>
        <v>0</v>
      </c>
      <c r="L28" s="1"/>
      <c r="M28" s="93" t="s">
        <v>76</v>
      </c>
      <c r="N28" s="38">
        <f>AVERAGE(N19:N23)</f>
        <v>35000000</v>
      </c>
      <c r="O28" s="72">
        <f>AVERAGE(O19:O23)</f>
        <v>5800000</v>
      </c>
      <c r="P28" s="39">
        <f>AVERAGE(P19:P23)</f>
        <v>1600000</v>
      </c>
      <c r="Q28" s="38">
        <f>AVERAGE(Q19:Q23)</f>
        <v>14400000</v>
      </c>
      <c r="R28" s="39">
        <f>AVERAGE(R19:R23)</f>
        <v>1200000</v>
      </c>
      <c r="T28" s="93" t="s">
        <v>76</v>
      </c>
      <c r="U28" s="72">
        <f>AVERAGE(U19:U23)</f>
        <v>35000000</v>
      </c>
      <c r="V28" s="38">
        <f t="shared" ref="V28:Z28" si="37">AVERAGE(V19:V23)</f>
        <v>8600000</v>
      </c>
      <c r="W28" s="39">
        <f t="shared" si="37"/>
        <v>26400000</v>
      </c>
      <c r="X28" s="38">
        <f t="shared" si="37"/>
        <v>110820000</v>
      </c>
      <c r="Y28" s="38">
        <f t="shared" si="37"/>
        <v>15273066.666666666</v>
      </c>
      <c r="Z28" s="38">
        <f t="shared" si="37"/>
        <v>95546933.333333343</v>
      </c>
      <c r="AA28" s="106">
        <f t="shared" si="32"/>
        <v>0.31582746796607108</v>
      </c>
      <c r="AB28" s="79">
        <f t="shared" si="33"/>
        <v>0.56308272514579039</v>
      </c>
      <c r="AC28" s="67">
        <f t="shared" si="34"/>
        <v>0.27630400138431094</v>
      </c>
    </row>
    <row r="29" spans="2:39" x14ac:dyDescent="0.25">
      <c r="B29" s="70">
        <v>2019</v>
      </c>
      <c r="C29" s="108" t="s">
        <v>16</v>
      </c>
      <c r="D29" s="108" t="s">
        <v>51</v>
      </c>
      <c r="E29" s="64">
        <v>1000000</v>
      </c>
      <c r="G29" s="70">
        <v>2019</v>
      </c>
      <c r="H29" s="2">
        <f t="shared" si="13"/>
        <v>1000000</v>
      </c>
      <c r="I29" s="71">
        <f t="shared" ref="I29:K42" si="38">MIN(MAX(0, $E29-I$4), I$5)</f>
        <v>0</v>
      </c>
      <c r="J29" s="36">
        <f t="shared" si="38"/>
        <v>0</v>
      </c>
      <c r="K29" s="36">
        <f t="shared" si="38"/>
        <v>0</v>
      </c>
      <c r="L29" s="1"/>
    </row>
    <row r="30" spans="2:39" x14ac:dyDescent="0.25">
      <c r="B30" s="70">
        <v>2019</v>
      </c>
      <c r="C30" s="108" t="s">
        <v>52</v>
      </c>
      <c r="D30" s="108" t="s">
        <v>50</v>
      </c>
      <c r="E30" s="64">
        <v>2000000</v>
      </c>
      <c r="G30" s="70">
        <v>2019</v>
      </c>
      <c r="H30" s="2">
        <f t="shared" si="13"/>
        <v>2000000</v>
      </c>
      <c r="I30" s="71">
        <f t="shared" si="38"/>
        <v>0</v>
      </c>
      <c r="J30" s="36">
        <f t="shared" si="38"/>
        <v>0</v>
      </c>
      <c r="K30" s="36">
        <f t="shared" si="38"/>
        <v>0</v>
      </c>
      <c r="L30" s="1"/>
    </row>
    <row r="31" spans="2:39" x14ac:dyDescent="0.25">
      <c r="B31" s="70">
        <v>2020</v>
      </c>
      <c r="C31" s="108" t="s">
        <v>52</v>
      </c>
      <c r="D31" s="108" t="s">
        <v>50</v>
      </c>
      <c r="E31" s="64">
        <v>22000000</v>
      </c>
      <c r="G31" s="70">
        <v>2020</v>
      </c>
      <c r="H31" s="2">
        <f t="shared" si="13"/>
        <v>22000000</v>
      </c>
      <c r="I31" s="71">
        <f t="shared" si="38"/>
        <v>7000000</v>
      </c>
      <c r="J31" s="36">
        <f t="shared" si="38"/>
        <v>0</v>
      </c>
      <c r="K31" s="36">
        <f t="shared" si="38"/>
        <v>10000000</v>
      </c>
      <c r="L31" s="1"/>
    </row>
    <row r="32" spans="2:39" x14ac:dyDescent="0.25">
      <c r="B32" s="70">
        <v>2020</v>
      </c>
      <c r="C32" s="108" t="s">
        <v>16</v>
      </c>
      <c r="D32" s="108" t="s">
        <v>51</v>
      </c>
      <c r="E32" s="64">
        <v>1000000</v>
      </c>
      <c r="G32" s="70">
        <v>2020</v>
      </c>
      <c r="H32" s="2">
        <f t="shared" si="13"/>
        <v>1000000</v>
      </c>
      <c r="I32" s="71">
        <f t="shared" si="38"/>
        <v>0</v>
      </c>
      <c r="J32" s="36">
        <f t="shared" si="38"/>
        <v>0</v>
      </c>
      <c r="K32" s="36">
        <f t="shared" si="38"/>
        <v>0</v>
      </c>
      <c r="L32" s="1"/>
    </row>
    <row r="33" spans="2:12" x14ac:dyDescent="0.25">
      <c r="B33" s="70">
        <v>2020</v>
      </c>
      <c r="C33" s="108" t="s">
        <v>52</v>
      </c>
      <c r="D33" s="108" t="s">
        <v>50</v>
      </c>
      <c r="E33" s="64">
        <v>6000000</v>
      </c>
      <c r="G33" s="70">
        <v>2020</v>
      </c>
      <c r="H33" s="2">
        <f t="shared" si="13"/>
        <v>6000000</v>
      </c>
      <c r="I33" s="71">
        <f t="shared" si="38"/>
        <v>0</v>
      </c>
      <c r="J33" s="36">
        <f t="shared" si="38"/>
        <v>0</v>
      </c>
      <c r="K33" s="36">
        <f t="shared" si="38"/>
        <v>1000000</v>
      </c>
      <c r="L33" s="1"/>
    </row>
    <row r="34" spans="2:12" x14ac:dyDescent="0.25">
      <c r="B34" s="70">
        <v>2020</v>
      </c>
      <c r="C34" s="108" t="s">
        <v>52</v>
      </c>
      <c r="D34" s="108" t="s">
        <v>50</v>
      </c>
      <c r="E34" s="64">
        <v>11000000</v>
      </c>
      <c r="G34" s="70">
        <v>2020</v>
      </c>
      <c r="H34" s="2">
        <f t="shared" si="13"/>
        <v>11000000</v>
      </c>
      <c r="I34" s="71">
        <f t="shared" si="38"/>
        <v>0</v>
      </c>
      <c r="J34" s="36">
        <f t="shared" si="38"/>
        <v>0</v>
      </c>
      <c r="K34" s="36">
        <f t="shared" si="38"/>
        <v>6000000</v>
      </c>
      <c r="L34" s="1"/>
    </row>
    <row r="35" spans="2:12" x14ac:dyDescent="0.25">
      <c r="B35" s="70">
        <v>2020</v>
      </c>
      <c r="C35" s="108" t="s">
        <v>16</v>
      </c>
      <c r="D35" s="108" t="s">
        <v>51</v>
      </c>
      <c r="E35" s="64">
        <v>13000000</v>
      </c>
      <c r="G35" s="70">
        <v>2020</v>
      </c>
      <c r="H35" s="2">
        <f t="shared" si="13"/>
        <v>13000000</v>
      </c>
      <c r="I35" s="71">
        <f t="shared" si="38"/>
        <v>0</v>
      </c>
      <c r="J35" s="36">
        <f t="shared" si="38"/>
        <v>0</v>
      </c>
      <c r="K35" s="36">
        <f t="shared" si="38"/>
        <v>8000000</v>
      </c>
    </row>
    <row r="36" spans="2:12" x14ac:dyDescent="0.25">
      <c r="B36" s="70">
        <v>2021</v>
      </c>
      <c r="C36" s="108" t="s">
        <v>52</v>
      </c>
      <c r="D36" s="108" t="s">
        <v>50</v>
      </c>
      <c r="E36" s="64">
        <v>38000000</v>
      </c>
      <c r="G36" s="70">
        <v>2021</v>
      </c>
      <c r="H36" s="2">
        <f t="shared" si="13"/>
        <v>38000000</v>
      </c>
      <c r="I36" s="71">
        <f t="shared" si="38"/>
        <v>15000000</v>
      </c>
      <c r="J36" s="36">
        <f t="shared" si="38"/>
        <v>8000000</v>
      </c>
      <c r="K36" s="36">
        <f t="shared" si="38"/>
        <v>10000000</v>
      </c>
    </row>
    <row r="37" spans="2:12" x14ac:dyDescent="0.25">
      <c r="B37" s="70">
        <v>2021</v>
      </c>
      <c r="C37" s="108" t="s">
        <v>52</v>
      </c>
      <c r="D37" s="108" t="s">
        <v>50</v>
      </c>
      <c r="E37" s="64">
        <v>14000000</v>
      </c>
      <c r="G37" s="70">
        <v>2021</v>
      </c>
      <c r="H37" s="2">
        <f t="shared" si="13"/>
        <v>14000000</v>
      </c>
      <c r="I37" s="71">
        <f t="shared" si="38"/>
        <v>0</v>
      </c>
      <c r="J37" s="36">
        <f t="shared" si="38"/>
        <v>0</v>
      </c>
      <c r="K37" s="36">
        <f t="shared" si="38"/>
        <v>9000000</v>
      </c>
    </row>
    <row r="38" spans="2:12" x14ac:dyDescent="0.25">
      <c r="B38" s="70">
        <v>2021</v>
      </c>
      <c r="C38" s="108" t="s">
        <v>60</v>
      </c>
      <c r="D38" s="108" t="s">
        <v>1</v>
      </c>
      <c r="E38" s="64">
        <v>4000000</v>
      </c>
      <c r="G38" s="70">
        <v>2021</v>
      </c>
      <c r="H38" s="2">
        <f t="shared" si="13"/>
        <v>4000000</v>
      </c>
      <c r="I38" s="71">
        <f t="shared" si="38"/>
        <v>0</v>
      </c>
      <c r="J38" s="36">
        <f t="shared" si="38"/>
        <v>0</v>
      </c>
      <c r="K38" s="36">
        <f t="shared" si="38"/>
        <v>0</v>
      </c>
    </row>
    <row r="39" spans="2:12" x14ac:dyDescent="0.25">
      <c r="B39" s="70">
        <v>2022</v>
      </c>
      <c r="C39" s="108" t="s">
        <v>60</v>
      </c>
      <c r="D39" s="108" t="s">
        <v>1</v>
      </c>
      <c r="E39" s="64">
        <v>8000000</v>
      </c>
      <c r="G39" s="70">
        <v>2022</v>
      </c>
      <c r="H39" s="2">
        <f t="shared" si="13"/>
        <v>8000000</v>
      </c>
      <c r="I39" s="71">
        <f t="shared" si="38"/>
        <v>0</v>
      </c>
      <c r="J39" s="36">
        <f t="shared" si="38"/>
        <v>0</v>
      </c>
      <c r="K39" s="36">
        <f t="shared" si="38"/>
        <v>3000000</v>
      </c>
    </row>
    <row r="40" spans="2:12" x14ac:dyDescent="0.25">
      <c r="B40" s="70">
        <v>2022</v>
      </c>
      <c r="C40" s="108" t="s">
        <v>52</v>
      </c>
      <c r="D40" s="108" t="s">
        <v>50</v>
      </c>
      <c r="E40" s="64">
        <v>13000000</v>
      </c>
      <c r="G40" s="70">
        <v>2022</v>
      </c>
      <c r="H40" s="2">
        <f t="shared" si="13"/>
        <v>13000000</v>
      </c>
      <c r="I40" s="71">
        <f t="shared" si="38"/>
        <v>0</v>
      </c>
      <c r="J40" s="36">
        <f t="shared" si="38"/>
        <v>0</v>
      </c>
      <c r="K40" s="36">
        <f t="shared" si="38"/>
        <v>8000000</v>
      </c>
    </row>
    <row r="41" spans="2:12" x14ac:dyDescent="0.25">
      <c r="B41" s="70">
        <v>2022</v>
      </c>
      <c r="C41" s="108" t="s">
        <v>16</v>
      </c>
      <c r="D41" s="108" t="s">
        <v>51</v>
      </c>
      <c r="E41" s="64">
        <v>22000000</v>
      </c>
      <c r="G41" s="70">
        <v>2022</v>
      </c>
      <c r="H41" s="2">
        <f t="shared" si="13"/>
        <v>22000000</v>
      </c>
      <c r="I41" s="71">
        <f t="shared" si="38"/>
        <v>7000000</v>
      </c>
      <c r="J41" s="36">
        <f t="shared" si="38"/>
        <v>0</v>
      </c>
      <c r="K41" s="36">
        <f t="shared" si="38"/>
        <v>10000000</v>
      </c>
    </row>
    <row r="42" spans="2:12" x14ac:dyDescent="0.25">
      <c r="B42" s="124">
        <v>2022</v>
      </c>
      <c r="C42" s="119" t="s">
        <v>60</v>
      </c>
      <c r="D42" s="119" t="s">
        <v>47</v>
      </c>
      <c r="E42" s="101">
        <v>4000000</v>
      </c>
      <c r="G42" s="124">
        <v>2022</v>
      </c>
      <c r="H42" s="2">
        <f t="shared" si="13"/>
        <v>4000000</v>
      </c>
      <c r="I42" s="71">
        <f t="shared" si="38"/>
        <v>0</v>
      </c>
      <c r="J42" s="36">
        <f t="shared" si="38"/>
        <v>0</v>
      </c>
      <c r="K42" s="36">
        <f t="shared" si="38"/>
        <v>0</v>
      </c>
    </row>
    <row r="43" spans="2:12" x14ac:dyDescent="0.25">
      <c r="B43" s="33"/>
      <c r="C43" s="108"/>
      <c r="D43" s="135" t="s">
        <v>39</v>
      </c>
      <c r="E43" s="121">
        <f>SUM(E9:E42)</f>
        <v>349000000</v>
      </c>
      <c r="F43" s="2"/>
      <c r="G43" s="140" t="s">
        <v>39</v>
      </c>
      <c r="H43" s="111">
        <f>SUM(H9:H42)</f>
        <v>349000000</v>
      </c>
      <c r="I43" s="110">
        <f>SUM(I9:I42)</f>
        <v>53000000</v>
      </c>
      <c r="J43" s="112">
        <f>SUM(J9:J42)</f>
        <v>16000000</v>
      </c>
      <c r="K43" s="112">
        <f>SUM(K9:K42)</f>
        <v>150000000</v>
      </c>
    </row>
    <row r="44" spans="2:12" x14ac:dyDescent="0.25">
      <c r="B44" s="37"/>
      <c r="C44" s="119"/>
      <c r="D44" s="137" t="s">
        <v>90</v>
      </c>
      <c r="E44" s="116">
        <f>E43/15</f>
        <v>23266666.666666668</v>
      </c>
      <c r="G44" s="141" t="s">
        <v>90</v>
      </c>
      <c r="H44" s="114">
        <f>H43/15</f>
        <v>23266666.666666668</v>
      </c>
      <c r="I44" s="113">
        <f>I43/15</f>
        <v>3533333.3333333335</v>
      </c>
      <c r="J44" s="115">
        <f>J43/15</f>
        <v>1066666.6666666667</v>
      </c>
      <c r="K44" s="115">
        <f>K43/15</f>
        <v>10000000</v>
      </c>
    </row>
    <row r="45" spans="2:12" x14ac:dyDescent="0.25">
      <c r="K45" s="2"/>
    </row>
    <row r="70" spans="11:11" x14ac:dyDescent="0.25">
      <c r="K70" s="2"/>
    </row>
    <row r="71" spans="11:11" x14ac:dyDescent="0.25">
      <c r="K71" s="2"/>
    </row>
  </sheetData>
  <mergeCells count="3">
    <mergeCell ref="X7:Z7"/>
    <mergeCell ref="AA7:AC7"/>
    <mergeCell ref="U7:W7"/>
  </mergeCells>
  <pageMargins left="0.25" right="0.25" top="0.75" bottom="0.75" header="0.3" footer="0.3"/>
  <pageSetup scale="78" fitToWidth="0" orientation="landscape" r:id="rId1"/>
  <headerFooter>
    <oddHeader>&amp;CBattleBots Extreme Pricing Challenge 2023 - Submission</oddHeader>
    <oddFooter>&amp;R&amp;F
&amp;A</oddFooter>
  </headerFooter>
  <colBreaks count="3" manualBreakCount="3">
    <brk id="12" max="1048575" man="1"/>
    <brk id="19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8AFE-BECA-4789-8932-DC5CD226C661}">
  <dimension ref="B1:O76"/>
  <sheetViews>
    <sheetView showGridLines="0" zoomScaleNormal="100" workbookViewId="0"/>
  </sheetViews>
  <sheetFormatPr defaultRowHeight="15" x14ac:dyDescent="0.25"/>
  <cols>
    <col min="1" max="1" width="1.42578125" customWidth="1"/>
    <col min="2" max="3" width="15" customWidth="1"/>
    <col min="4" max="4" width="4.7109375" customWidth="1"/>
    <col min="5" max="14" width="15" customWidth="1"/>
    <col min="15" max="15" width="20.42578125" bestFit="1" customWidth="1"/>
  </cols>
  <sheetData>
    <row r="1" spans="2:15" x14ac:dyDescent="0.25">
      <c r="B1" s="152" t="s">
        <v>100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2:15" x14ac:dyDescent="0.25">
      <c r="H2" s="120"/>
    </row>
    <row r="3" spans="2:15" x14ac:dyDescent="0.25">
      <c r="B3" s="54"/>
      <c r="C3" s="175" t="s">
        <v>33</v>
      </c>
      <c r="D3" s="176"/>
      <c r="E3" s="177"/>
      <c r="F3" s="44" t="s">
        <v>80</v>
      </c>
      <c r="G3" s="5"/>
      <c r="H3" s="5"/>
      <c r="I3" s="175" t="s">
        <v>62</v>
      </c>
      <c r="J3" s="176"/>
      <c r="K3" s="177"/>
      <c r="L3" s="54" t="s">
        <v>67</v>
      </c>
      <c r="M3" s="45" t="s">
        <v>67</v>
      </c>
      <c r="N3" s="45" t="s">
        <v>78</v>
      </c>
    </row>
    <row r="4" spans="2:15" x14ac:dyDescent="0.25">
      <c r="B4" s="61" t="s">
        <v>32</v>
      </c>
      <c r="C4" s="43" t="s">
        <v>19</v>
      </c>
      <c r="D4" s="8" t="s">
        <v>38</v>
      </c>
      <c r="E4" s="10" t="s">
        <v>20</v>
      </c>
      <c r="F4" s="43" t="s">
        <v>29</v>
      </c>
      <c r="G4" s="9" t="s">
        <v>71</v>
      </c>
      <c r="H4" s="9" t="s">
        <v>72</v>
      </c>
      <c r="I4" s="43" t="s">
        <v>41</v>
      </c>
      <c r="J4" s="9" t="s">
        <v>42</v>
      </c>
      <c r="K4" s="10" t="s">
        <v>0</v>
      </c>
      <c r="L4" s="61" t="s">
        <v>77</v>
      </c>
      <c r="M4" s="10" t="s">
        <v>40</v>
      </c>
      <c r="N4" s="10" t="s">
        <v>79</v>
      </c>
    </row>
    <row r="5" spans="2:15" x14ac:dyDescent="0.25">
      <c r="B5" s="70">
        <v>2008</v>
      </c>
      <c r="C5" s="98">
        <v>15000000</v>
      </c>
      <c r="D5" s="123" t="s">
        <v>38</v>
      </c>
      <c r="E5" s="75">
        <v>15000000</v>
      </c>
      <c r="F5" s="98">
        <f>'SEP by State '!H5</f>
        <v>56000000</v>
      </c>
      <c r="G5" s="133">
        <v>0.04</v>
      </c>
      <c r="H5" s="133">
        <f>I5/C5</f>
        <v>0.14933333333333335</v>
      </c>
      <c r="I5" s="71">
        <f>F5*G5</f>
        <v>2240000</v>
      </c>
      <c r="J5" s="35">
        <f>MIN(L5/C5*I5, I5)</f>
        <v>2240000</v>
      </c>
      <c r="K5" s="36">
        <f>I5+J5</f>
        <v>4480000</v>
      </c>
      <c r="L5" s="103">
        <f>'Loss Experience'!O9</f>
        <v>15000000</v>
      </c>
      <c r="M5" s="66">
        <f t="shared" ref="M5:M24" si="0">L5/K5</f>
        <v>3.3482142857142856</v>
      </c>
      <c r="N5" s="36">
        <f t="shared" ref="N5:N19" si="1">K5-L5</f>
        <v>-10520000</v>
      </c>
      <c r="O5" s="102"/>
    </row>
    <row r="6" spans="2:15" x14ac:dyDescent="0.25">
      <c r="B6" s="70">
        <v>2009</v>
      </c>
      <c r="C6" s="98">
        <v>15000000</v>
      </c>
      <c r="D6" s="123" t="s">
        <v>38</v>
      </c>
      <c r="E6" s="75">
        <v>15000000</v>
      </c>
      <c r="F6" s="98">
        <f>'SEP by State '!H6</f>
        <v>62200000</v>
      </c>
      <c r="G6" s="133">
        <v>0.04</v>
      </c>
      <c r="H6" s="133">
        <f t="shared" ref="H6:H19" si="2">I6/C6</f>
        <v>0.16586666666666666</v>
      </c>
      <c r="I6" s="71">
        <f t="shared" ref="I6:I19" si="3">F6*G6</f>
        <v>2488000</v>
      </c>
      <c r="J6" s="35">
        <f t="shared" ref="J6:J19" si="4">MIN(L6/C6*I6, I6)</f>
        <v>0</v>
      </c>
      <c r="K6" s="36">
        <f t="shared" ref="K6:K19" si="5">I6+J6</f>
        <v>2488000</v>
      </c>
      <c r="L6" s="103">
        <f>'Loss Experience'!O10</f>
        <v>0</v>
      </c>
      <c r="M6" s="66">
        <f t="shared" si="0"/>
        <v>0</v>
      </c>
      <c r="N6" s="36">
        <f t="shared" si="1"/>
        <v>2488000</v>
      </c>
      <c r="O6" s="102"/>
    </row>
    <row r="7" spans="2:15" x14ac:dyDescent="0.25">
      <c r="B7" s="70">
        <v>2010</v>
      </c>
      <c r="C7" s="98">
        <v>15000000</v>
      </c>
      <c r="D7" s="123" t="s">
        <v>38</v>
      </c>
      <c r="E7" s="75">
        <v>15000000</v>
      </c>
      <c r="F7" s="98">
        <f>'SEP by State '!H7</f>
        <v>68400000</v>
      </c>
      <c r="G7" s="133">
        <v>0.04</v>
      </c>
      <c r="H7" s="133">
        <f t="shared" si="2"/>
        <v>0.18240000000000001</v>
      </c>
      <c r="I7" s="71">
        <f t="shared" si="3"/>
        <v>2736000</v>
      </c>
      <c r="J7" s="35">
        <f t="shared" si="4"/>
        <v>0</v>
      </c>
      <c r="K7" s="36">
        <f t="shared" si="5"/>
        <v>2736000</v>
      </c>
      <c r="L7" s="103">
        <f>'Loss Experience'!O11</f>
        <v>0</v>
      </c>
      <c r="M7" s="66">
        <f t="shared" si="0"/>
        <v>0</v>
      </c>
      <c r="N7" s="36">
        <f t="shared" si="1"/>
        <v>2736000</v>
      </c>
      <c r="O7" s="102"/>
    </row>
    <row r="8" spans="2:15" x14ac:dyDescent="0.25">
      <c r="B8" s="70">
        <v>2011</v>
      </c>
      <c r="C8" s="98">
        <v>15000000</v>
      </c>
      <c r="D8" s="123" t="s">
        <v>38</v>
      </c>
      <c r="E8" s="75">
        <v>15000000</v>
      </c>
      <c r="F8" s="98">
        <f>'SEP by State '!H8</f>
        <v>69800000</v>
      </c>
      <c r="G8" s="133">
        <v>0.04</v>
      </c>
      <c r="H8" s="133">
        <f t="shared" si="2"/>
        <v>0.18613333333333335</v>
      </c>
      <c r="I8" s="71">
        <f t="shared" si="3"/>
        <v>2792000</v>
      </c>
      <c r="J8" s="35">
        <f t="shared" si="4"/>
        <v>0</v>
      </c>
      <c r="K8" s="36">
        <f t="shared" si="5"/>
        <v>2792000</v>
      </c>
      <c r="L8" s="103">
        <f>'Loss Experience'!O12</f>
        <v>0</v>
      </c>
      <c r="M8" s="66">
        <f t="shared" si="0"/>
        <v>0</v>
      </c>
      <c r="N8" s="36">
        <f t="shared" si="1"/>
        <v>2792000</v>
      </c>
      <c r="O8" s="102"/>
    </row>
    <row r="9" spans="2:15" x14ac:dyDescent="0.25">
      <c r="B9" s="70">
        <v>2012</v>
      </c>
      <c r="C9" s="98">
        <v>15000000</v>
      </c>
      <c r="D9" s="123" t="s">
        <v>38</v>
      </c>
      <c r="E9" s="75">
        <v>15000000</v>
      </c>
      <c r="F9" s="98">
        <f>'SEP by State '!H9</f>
        <v>74300000</v>
      </c>
      <c r="G9" s="133">
        <v>0.04</v>
      </c>
      <c r="H9" s="133">
        <f t="shared" si="2"/>
        <v>0.19813333333333333</v>
      </c>
      <c r="I9" s="71">
        <f t="shared" si="3"/>
        <v>2972000</v>
      </c>
      <c r="J9" s="35">
        <f t="shared" si="4"/>
        <v>0</v>
      </c>
      <c r="K9" s="36">
        <f t="shared" si="5"/>
        <v>2972000</v>
      </c>
      <c r="L9" s="103">
        <f>'Loss Experience'!O13</f>
        <v>0</v>
      </c>
      <c r="M9" s="66">
        <f t="shared" si="0"/>
        <v>0</v>
      </c>
      <c r="N9" s="36">
        <f t="shared" si="1"/>
        <v>2972000</v>
      </c>
      <c r="O9" s="102"/>
    </row>
    <row r="10" spans="2:15" x14ac:dyDescent="0.25">
      <c r="B10" s="70">
        <v>2013</v>
      </c>
      <c r="C10" s="98">
        <v>15000000</v>
      </c>
      <c r="D10" s="123" t="s">
        <v>38</v>
      </c>
      <c r="E10" s="75">
        <v>15000000</v>
      </c>
      <c r="F10" s="98">
        <f>'SEP by State '!H10</f>
        <v>76600000</v>
      </c>
      <c r="G10" s="133">
        <v>0.04</v>
      </c>
      <c r="H10" s="133">
        <f t="shared" si="2"/>
        <v>0.20426666666666668</v>
      </c>
      <c r="I10" s="71">
        <f t="shared" si="3"/>
        <v>3064000</v>
      </c>
      <c r="J10" s="35">
        <f t="shared" si="4"/>
        <v>0</v>
      </c>
      <c r="K10" s="36">
        <f t="shared" si="5"/>
        <v>3064000</v>
      </c>
      <c r="L10" s="103">
        <f>'Loss Experience'!O14</f>
        <v>0</v>
      </c>
      <c r="M10" s="66">
        <f t="shared" si="0"/>
        <v>0</v>
      </c>
      <c r="N10" s="36">
        <f t="shared" si="1"/>
        <v>3064000</v>
      </c>
      <c r="O10" s="102"/>
    </row>
    <row r="11" spans="2:15" x14ac:dyDescent="0.25">
      <c r="B11" s="70">
        <v>2014</v>
      </c>
      <c r="C11" s="98">
        <v>15000000</v>
      </c>
      <c r="D11" s="123" t="s">
        <v>38</v>
      </c>
      <c r="E11" s="75">
        <v>15000000</v>
      </c>
      <c r="F11" s="98">
        <f>'SEP by State '!H11</f>
        <v>79000000</v>
      </c>
      <c r="G11" s="133">
        <v>0.04</v>
      </c>
      <c r="H11" s="133">
        <f t="shared" si="2"/>
        <v>0.21066666666666667</v>
      </c>
      <c r="I11" s="71">
        <f t="shared" si="3"/>
        <v>3160000</v>
      </c>
      <c r="J11" s="35">
        <f t="shared" si="4"/>
        <v>0</v>
      </c>
      <c r="K11" s="36">
        <f t="shared" si="5"/>
        <v>3160000</v>
      </c>
      <c r="L11" s="103">
        <f>'Loss Experience'!O15</f>
        <v>0</v>
      </c>
      <c r="M11" s="66">
        <f t="shared" si="0"/>
        <v>0</v>
      </c>
      <c r="N11" s="36">
        <f t="shared" si="1"/>
        <v>3160000</v>
      </c>
      <c r="O11" s="102"/>
    </row>
    <row r="12" spans="2:15" x14ac:dyDescent="0.25">
      <c r="B12" s="70">
        <v>2015</v>
      </c>
      <c r="C12" s="98">
        <v>15000000</v>
      </c>
      <c r="D12" s="123" t="s">
        <v>38</v>
      </c>
      <c r="E12" s="75">
        <v>15000000</v>
      </c>
      <c r="F12" s="98">
        <f>'SEP by State '!H12</f>
        <v>81400000</v>
      </c>
      <c r="G12" s="133">
        <v>0.04</v>
      </c>
      <c r="H12" s="133">
        <f t="shared" si="2"/>
        <v>0.21706666666666666</v>
      </c>
      <c r="I12" s="71">
        <f t="shared" si="3"/>
        <v>3256000</v>
      </c>
      <c r="J12" s="35">
        <f t="shared" si="4"/>
        <v>1953600</v>
      </c>
      <c r="K12" s="36">
        <f t="shared" si="5"/>
        <v>5209600</v>
      </c>
      <c r="L12" s="103">
        <f>'Loss Experience'!O16</f>
        <v>9000000</v>
      </c>
      <c r="M12" s="66">
        <f t="shared" si="0"/>
        <v>1.7275798525798525</v>
      </c>
      <c r="N12" s="36">
        <f t="shared" si="1"/>
        <v>-3790400</v>
      </c>
      <c r="O12" s="102"/>
    </row>
    <row r="13" spans="2:15" x14ac:dyDescent="0.25">
      <c r="B13" s="70">
        <v>2016</v>
      </c>
      <c r="C13" s="98">
        <v>15000000</v>
      </c>
      <c r="D13" s="123" t="s">
        <v>38</v>
      </c>
      <c r="E13" s="75">
        <v>15000000</v>
      </c>
      <c r="F13" s="98">
        <f>'SEP by State '!H13</f>
        <v>89500000</v>
      </c>
      <c r="G13" s="133">
        <v>0.04</v>
      </c>
      <c r="H13" s="133">
        <f t="shared" si="2"/>
        <v>0.23866666666666667</v>
      </c>
      <c r="I13" s="71">
        <f t="shared" si="3"/>
        <v>3580000</v>
      </c>
      <c r="J13" s="35">
        <f t="shared" si="4"/>
        <v>0</v>
      </c>
      <c r="K13" s="36">
        <f t="shared" si="5"/>
        <v>3580000</v>
      </c>
      <c r="L13" s="103">
        <f>'Loss Experience'!O17</f>
        <v>0</v>
      </c>
      <c r="M13" s="66">
        <f t="shared" si="0"/>
        <v>0</v>
      </c>
      <c r="N13" s="36">
        <f t="shared" si="1"/>
        <v>3580000</v>
      </c>
      <c r="O13" s="102"/>
    </row>
    <row r="14" spans="2:15" x14ac:dyDescent="0.25">
      <c r="B14" s="70">
        <v>2017</v>
      </c>
      <c r="C14" s="98">
        <v>15000000</v>
      </c>
      <c r="D14" s="123" t="s">
        <v>38</v>
      </c>
      <c r="E14" s="75">
        <v>15000000</v>
      </c>
      <c r="F14" s="98">
        <f>'SEP by State '!H14</f>
        <v>99400000</v>
      </c>
      <c r="G14" s="133">
        <v>0.04</v>
      </c>
      <c r="H14" s="133">
        <f t="shared" si="2"/>
        <v>0.26506666666666667</v>
      </c>
      <c r="I14" s="71">
        <f t="shared" si="3"/>
        <v>3976000</v>
      </c>
      <c r="J14" s="35">
        <f t="shared" si="4"/>
        <v>0</v>
      </c>
      <c r="K14" s="36">
        <f t="shared" si="5"/>
        <v>3976000</v>
      </c>
      <c r="L14" s="103">
        <f>'Loss Experience'!O18</f>
        <v>0</v>
      </c>
      <c r="M14" s="66">
        <f t="shared" si="0"/>
        <v>0</v>
      </c>
      <c r="N14" s="36">
        <f t="shared" si="1"/>
        <v>3976000</v>
      </c>
      <c r="O14" s="102"/>
    </row>
    <row r="15" spans="2:15" x14ac:dyDescent="0.25">
      <c r="B15" s="70">
        <v>2018</v>
      </c>
      <c r="C15" s="98">
        <v>15000000</v>
      </c>
      <c r="D15" s="123" t="s">
        <v>38</v>
      </c>
      <c r="E15" s="75">
        <v>15000000</v>
      </c>
      <c r="F15" s="98">
        <f>'SEP by State '!H15</f>
        <v>105700000</v>
      </c>
      <c r="G15" s="133">
        <v>0.04</v>
      </c>
      <c r="H15" s="133">
        <f t="shared" si="2"/>
        <v>0.28186666666666665</v>
      </c>
      <c r="I15" s="71">
        <f t="shared" si="3"/>
        <v>4228000</v>
      </c>
      <c r="J15" s="35">
        <f t="shared" si="4"/>
        <v>0</v>
      </c>
      <c r="K15" s="36">
        <f t="shared" si="5"/>
        <v>4228000</v>
      </c>
      <c r="L15" s="103">
        <f>'Loss Experience'!O19</f>
        <v>0</v>
      </c>
      <c r="M15" s="66">
        <f t="shared" si="0"/>
        <v>0</v>
      </c>
      <c r="N15" s="36">
        <f t="shared" si="1"/>
        <v>4228000</v>
      </c>
      <c r="O15" s="102"/>
    </row>
    <row r="16" spans="2:15" x14ac:dyDescent="0.25">
      <c r="B16" s="70">
        <v>2019</v>
      </c>
      <c r="C16" s="98">
        <v>15000000</v>
      </c>
      <c r="D16" s="123" t="s">
        <v>38</v>
      </c>
      <c r="E16" s="75">
        <v>15000000</v>
      </c>
      <c r="F16" s="98">
        <f>'SEP by State '!H16</f>
        <v>110100000</v>
      </c>
      <c r="G16" s="133">
        <v>0.04</v>
      </c>
      <c r="H16" s="133">
        <f t="shared" si="2"/>
        <v>0.29360000000000003</v>
      </c>
      <c r="I16" s="71">
        <f t="shared" si="3"/>
        <v>4404000</v>
      </c>
      <c r="J16" s="35">
        <f t="shared" si="4"/>
        <v>0</v>
      </c>
      <c r="K16" s="36">
        <f t="shared" si="5"/>
        <v>4404000</v>
      </c>
      <c r="L16" s="103">
        <f>'Loss Experience'!O20</f>
        <v>0</v>
      </c>
      <c r="M16" s="66">
        <f t="shared" si="0"/>
        <v>0</v>
      </c>
      <c r="N16" s="36">
        <f t="shared" si="1"/>
        <v>4404000</v>
      </c>
      <c r="O16" s="102"/>
    </row>
    <row r="17" spans="2:15" x14ac:dyDescent="0.25">
      <c r="B17" s="70">
        <v>2020</v>
      </c>
      <c r="C17" s="98">
        <v>15000000</v>
      </c>
      <c r="D17" s="123" t="s">
        <v>38</v>
      </c>
      <c r="E17" s="75">
        <v>15000000</v>
      </c>
      <c r="F17" s="98">
        <f>'SEP by State '!H17</f>
        <v>110100000</v>
      </c>
      <c r="G17" s="133">
        <v>0.04</v>
      </c>
      <c r="H17" s="133">
        <f t="shared" si="2"/>
        <v>0.29360000000000003</v>
      </c>
      <c r="I17" s="71">
        <f t="shared" si="3"/>
        <v>4404000</v>
      </c>
      <c r="J17" s="35">
        <f t="shared" si="4"/>
        <v>2055200</v>
      </c>
      <c r="K17" s="36">
        <f t="shared" si="5"/>
        <v>6459200</v>
      </c>
      <c r="L17" s="103">
        <f>'Loss Experience'!O21</f>
        <v>7000000</v>
      </c>
      <c r="M17" s="66">
        <f t="shared" si="0"/>
        <v>1.0837255387664106</v>
      </c>
      <c r="N17" s="36">
        <f t="shared" si="1"/>
        <v>-540800</v>
      </c>
      <c r="O17" s="102"/>
    </row>
    <row r="18" spans="2:15" x14ac:dyDescent="0.25">
      <c r="B18" s="70">
        <v>2021</v>
      </c>
      <c r="C18" s="98">
        <v>15000000</v>
      </c>
      <c r="D18" s="123" t="s">
        <v>38</v>
      </c>
      <c r="E18" s="75">
        <v>15000000</v>
      </c>
      <c r="F18" s="98">
        <f>'SEP by State '!H18</f>
        <v>111200000</v>
      </c>
      <c r="G18" s="133">
        <v>0.04</v>
      </c>
      <c r="H18" s="133">
        <f t="shared" si="2"/>
        <v>0.29653333333333332</v>
      </c>
      <c r="I18" s="71">
        <f t="shared" si="3"/>
        <v>4448000</v>
      </c>
      <c r="J18" s="35">
        <f t="shared" si="4"/>
        <v>4448000</v>
      </c>
      <c r="K18" s="36">
        <f t="shared" si="5"/>
        <v>8896000</v>
      </c>
      <c r="L18" s="103">
        <f>'Loss Experience'!O22</f>
        <v>15000000</v>
      </c>
      <c r="M18" s="66">
        <f t="shared" si="0"/>
        <v>1.6861510791366907</v>
      </c>
      <c r="N18" s="36">
        <f t="shared" si="1"/>
        <v>-6104000</v>
      </c>
      <c r="O18" s="102"/>
    </row>
    <row r="19" spans="2:15" x14ac:dyDescent="0.25">
      <c r="B19" s="124">
        <v>2022</v>
      </c>
      <c r="C19" s="125">
        <v>15000000</v>
      </c>
      <c r="D19" s="126" t="s">
        <v>38</v>
      </c>
      <c r="E19" s="127">
        <v>15000000</v>
      </c>
      <c r="F19" s="125">
        <f>'SEP by State '!H19</f>
        <v>116999999.99999999</v>
      </c>
      <c r="G19" s="134">
        <v>0.04</v>
      </c>
      <c r="H19" s="134">
        <f t="shared" si="2"/>
        <v>0.31199999999999994</v>
      </c>
      <c r="I19" s="71">
        <f t="shared" si="3"/>
        <v>4679999.9999999991</v>
      </c>
      <c r="J19" s="35">
        <f t="shared" si="4"/>
        <v>2183999.9999999995</v>
      </c>
      <c r="K19" s="36">
        <f t="shared" si="5"/>
        <v>6863999.9999999981</v>
      </c>
      <c r="L19" s="103">
        <f>'Loss Experience'!O23</f>
        <v>7000000</v>
      </c>
      <c r="M19" s="66">
        <f t="shared" si="0"/>
        <v>1.0198135198135201</v>
      </c>
      <c r="N19" s="36">
        <f t="shared" si="1"/>
        <v>-136000.00000000186</v>
      </c>
      <c r="O19" s="102"/>
    </row>
    <row r="20" spans="2:15" x14ac:dyDescent="0.25">
      <c r="B20" s="80"/>
      <c r="C20" s="128"/>
      <c r="D20" s="128"/>
      <c r="E20" s="128"/>
      <c r="F20" s="129"/>
      <c r="G20" s="129"/>
      <c r="H20" s="129" t="s">
        <v>39</v>
      </c>
      <c r="I20" s="130">
        <f t="shared" ref="I20:L20" si="6">SUM(I5:I19)</f>
        <v>52428000</v>
      </c>
      <c r="J20" s="109">
        <f t="shared" si="6"/>
        <v>12880800</v>
      </c>
      <c r="K20" s="99">
        <f t="shared" si="6"/>
        <v>65308800</v>
      </c>
      <c r="L20" s="131">
        <f t="shared" si="6"/>
        <v>53000000</v>
      </c>
      <c r="M20" s="132">
        <f t="shared" si="0"/>
        <v>0.81152922730168064</v>
      </c>
      <c r="N20" s="99">
        <f>SUM(N5:N19)</f>
        <v>12308799.999999998</v>
      </c>
    </row>
    <row r="21" spans="2:15" x14ac:dyDescent="0.25">
      <c r="B21" s="33"/>
      <c r="F21" s="108"/>
      <c r="G21" s="108"/>
      <c r="H21" s="108" t="s">
        <v>73</v>
      </c>
      <c r="I21" s="71">
        <f>AVERAGE(I5:I19)</f>
        <v>3495200</v>
      </c>
      <c r="J21" s="35">
        <f t="shared" ref="J21:L21" si="7">AVERAGE(J5:J19)</f>
        <v>858720</v>
      </c>
      <c r="K21" s="36">
        <f t="shared" si="7"/>
        <v>4353920</v>
      </c>
      <c r="L21" s="64">
        <f t="shared" si="7"/>
        <v>3533333.3333333335</v>
      </c>
      <c r="M21" s="66">
        <f t="shared" si="0"/>
        <v>0.81152922730168064</v>
      </c>
      <c r="N21" s="36">
        <f>AVERAGE(N5:N19)</f>
        <v>820586.66666666651</v>
      </c>
    </row>
    <row r="22" spans="2:15" x14ac:dyDescent="0.25">
      <c r="B22" s="33"/>
      <c r="F22" s="108"/>
      <c r="G22" s="108"/>
      <c r="H22" s="108" t="s">
        <v>74</v>
      </c>
      <c r="I22" s="71">
        <f>AVERAGE(I10:I19)</f>
        <v>3920000</v>
      </c>
      <c r="J22" s="35">
        <f t="shared" ref="J22:L22" si="8">AVERAGE(J10:J19)</f>
        <v>1064080</v>
      </c>
      <c r="K22" s="36">
        <f t="shared" si="8"/>
        <v>4984080</v>
      </c>
      <c r="L22" s="64">
        <f t="shared" si="8"/>
        <v>3800000</v>
      </c>
      <c r="M22" s="66">
        <f t="shared" si="0"/>
        <v>0.76242756938090883</v>
      </c>
      <c r="N22" s="36">
        <f>AVERAGE(N10:N19)</f>
        <v>1184079.9999999998</v>
      </c>
    </row>
    <row r="23" spans="2:15" x14ac:dyDescent="0.25">
      <c r="B23" s="33"/>
      <c r="F23" s="108"/>
      <c r="G23" s="108"/>
      <c r="H23" s="108" t="s">
        <v>75</v>
      </c>
      <c r="I23" s="71">
        <f>AVERAGE(I13:I19)</f>
        <v>4245714.2857142854</v>
      </c>
      <c r="J23" s="35">
        <f t="shared" ref="J23:L23" si="9">AVERAGE(J13:J19)</f>
        <v>1241028.5714285714</v>
      </c>
      <c r="K23" s="36">
        <f t="shared" si="9"/>
        <v>5486742.8571428573</v>
      </c>
      <c r="L23" s="64">
        <f t="shared" si="9"/>
        <v>4142857.1428571427</v>
      </c>
      <c r="M23" s="66">
        <f t="shared" si="0"/>
        <v>0.755066758316149</v>
      </c>
      <c r="N23" s="36">
        <f>AVERAGE(N13:N19)</f>
        <v>1343885.7142857141</v>
      </c>
    </row>
    <row r="24" spans="2:15" x14ac:dyDescent="0.25">
      <c r="B24" s="37"/>
      <c r="C24" s="65"/>
      <c r="D24" s="65"/>
      <c r="E24" s="65"/>
      <c r="F24" s="119"/>
      <c r="G24" s="119"/>
      <c r="H24" s="119" t="s">
        <v>76</v>
      </c>
      <c r="I24" s="72">
        <f>AVERAGE(I15:I19)</f>
        <v>4432800</v>
      </c>
      <c r="J24" s="38">
        <f t="shared" ref="J24:L24" si="10">AVERAGE(J15:J19)</f>
        <v>1737440</v>
      </c>
      <c r="K24" s="39">
        <f t="shared" si="10"/>
        <v>6170240</v>
      </c>
      <c r="L24" s="101">
        <f t="shared" si="10"/>
        <v>5800000</v>
      </c>
      <c r="M24" s="67">
        <f t="shared" si="0"/>
        <v>0.93999585105279537</v>
      </c>
      <c r="N24" s="39">
        <f>AVERAGE(N15:N19)</f>
        <v>370239.99999999965</v>
      </c>
    </row>
    <row r="25" spans="2:15" x14ac:dyDescent="0.25">
      <c r="F25" s="108"/>
      <c r="G25" s="108"/>
      <c r="H25" s="108"/>
      <c r="I25" s="35"/>
      <c r="J25" s="35"/>
      <c r="K25" s="35"/>
      <c r="L25" s="35"/>
      <c r="M25" s="105"/>
      <c r="N25" s="35"/>
    </row>
    <row r="26" spans="2:15" x14ac:dyDescent="0.25">
      <c r="F26" s="108"/>
      <c r="G26" s="108"/>
      <c r="H26" s="108"/>
      <c r="I26" s="35"/>
      <c r="J26" s="35"/>
      <c r="K26" s="35"/>
      <c r="L26" s="35"/>
      <c r="M26" s="105"/>
      <c r="N26" s="35"/>
    </row>
    <row r="27" spans="2:15" x14ac:dyDescent="0.25">
      <c r="B27" s="152" t="s">
        <v>101</v>
      </c>
      <c r="C27" s="152"/>
      <c r="D27" s="152"/>
      <c r="E27" s="152"/>
      <c r="F27" s="152"/>
      <c r="G27" s="152"/>
      <c r="H27" s="152"/>
      <c r="I27" s="152"/>
      <c r="J27" s="152"/>
      <c r="K27" s="155"/>
      <c r="L27" s="155"/>
      <c r="M27" s="156"/>
      <c r="N27" s="155"/>
    </row>
    <row r="28" spans="2:15" x14ac:dyDescent="0.25">
      <c r="H28" s="120"/>
      <c r="K28" s="2"/>
      <c r="L28" s="2"/>
      <c r="N28" s="2"/>
    </row>
    <row r="29" spans="2:15" x14ac:dyDescent="0.25">
      <c r="B29" s="54"/>
      <c r="C29" s="175" t="s">
        <v>33</v>
      </c>
      <c r="D29" s="176"/>
      <c r="E29" s="177"/>
      <c r="F29" s="44" t="s">
        <v>80</v>
      </c>
      <c r="G29" s="5"/>
      <c r="H29" s="5"/>
      <c r="I29" s="175" t="s">
        <v>62</v>
      </c>
      <c r="J29" s="176"/>
      <c r="K29" s="177"/>
      <c r="L29" s="54" t="s">
        <v>67</v>
      </c>
      <c r="M29" s="45" t="s">
        <v>67</v>
      </c>
      <c r="N29" s="45" t="s">
        <v>78</v>
      </c>
    </row>
    <row r="30" spans="2:15" x14ac:dyDescent="0.25">
      <c r="B30" s="61" t="s">
        <v>32</v>
      </c>
      <c r="C30" s="43" t="s">
        <v>19</v>
      </c>
      <c r="D30" s="8" t="s">
        <v>38</v>
      </c>
      <c r="E30" s="10" t="s">
        <v>20</v>
      </c>
      <c r="F30" s="43" t="s">
        <v>29</v>
      </c>
      <c r="G30" s="9" t="s">
        <v>71</v>
      </c>
      <c r="H30" s="9" t="s">
        <v>72</v>
      </c>
      <c r="I30" s="43" t="s">
        <v>41</v>
      </c>
      <c r="J30" s="9" t="s">
        <v>42</v>
      </c>
      <c r="K30" s="10" t="s">
        <v>0</v>
      </c>
      <c r="L30" s="61" t="s">
        <v>77</v>
      </c>
      <c r="M30" s="10" t="s">
        <v>40</v>
      </c>
      <c r="N30" s="10" t="s">
        <v>79</v>
      </c>
    </row>
    <row r="31" spans="2:15" x14ac:dyDescent="0.25">
      <c r="B31" s="70">
        <v>2008</v>
      </c>
      <c r="C31" s="98">
        <v>30000000</v>
      </c>
      <c r="D31" s="123" t="s">
        <v>38</v>
      </c>
      <c r="E31" s="75">
        <v>30000000</v>
      </c>
      <c r="F31" s="98">
        <f t="shared" ref="F31:F45" si="11">F5</f>
        <v>56000000</v>
      </c>
      <c r="G31" s="133">
        <v>0.04</v>
      </c>
      <c r="H31" s="133">
        <f>I31/C31</f>
        <v>7.4666666666666673E-2</v>
      </c>
      <c r="I31" s="71">
        <f>F31*G31</f>
        <v>2240000</v>
      </c>
      <c r="J31" s="35">
        <f>MIN(L31/C31*I31, I31)</f>
        <v>597333.33333333337</v>
      </c>
      <c r="K31" s="36">
        <f>I31+J31</f>
        <v>2837333.3333333335</v>
      </c>
      <c r="L31" s="103">
        <f>'Loss Experience'!P9</f>
        <v>8000000</v>
      </c>
      <c r="M31" s="66">
        <f t="shared" ref="M31:M50" si="12">L31/K31</f>
        <v>2.8195488721804511</v>
      </c>
      <c r="N31" s="36">
        <f t="shared" ref="N31:N45" si="13">K31-L31</f>
        <v>-5162666.666666666</v>
      </c>
      <c r="O31" s="102"/>
    </row>
    <row r="32" spans="2:15" x14ac:dyDescent="0.25">
      <c r="B32" s="70">
        <v>2009</v>
      </c>
      <c r="C32" s="98">
        <v>30000000</v>
      </c>
      <c r="D32" s="123" t="s">
        <v>38</v>
      </c>
      <c r="E32" s="75">
        <v>30000000</v>
      </c>
      <c r="F32" s="98">
        <f t="shared" si="11"/>
        <v>62200000</v>
      </c>
      <c r="G32" s="133">
        <v>0.04</v>
      </c>
      <c r="H32" s="133">
        <f t="shared" ref="H32:H45" si="14">I32/C32</f>
        <v>8.2933333333333331E-2</v>
      </c>
      <c r="I32" s="71">
        <f t="shared" ref="I32:I45" si="15">F32*G32</f>
        <v>2488000</v>
      </c>
      <c r="J32" s="35">
        <f t="shared" ref="J32:J45" si="16">MIN(L32/C32*I32, I32)</f>
        <v>0</v>
      </c>
      <c r="K32" s="36">
        <f t="shared" ref="K32:K45" si="17">I32+J32</f>
        <v>2488000</v>
      </c>
      <c r="L32" s="103">
        <f>'Loss Experience'!P10</f>
        <v>0</v>
      </c>
      <c r="M32" s="66">
        <f t="shared" si="12"/>
        <v>0</v>
      </c>
      <c r="N32" s="36">
        <f t="shared" si="13"/>
        <v>2488000</v>
      </c>
      <c r="O32" s="102"/>
    </row>
    <row r="33" spans="2:15" x14ac:dyDescent="0.25">
      <c r="B33" s="70">
        <v>2010</v>
      </c>
      <c r="C33" s="98">
        <v>30000000</v>
      </c>
      <c r="D33" s="123" t="s">
        <v>38</v>
      </c>
      <c r="E33" s="75">
        <v>30000000</v>
      </c>
      <c r="F33" s="98">
        <f t="shared" si="11"/>
        <v>68400000</v>
      </c>
      <c r="G33" s="133">
        <v>0.04</v>
      </c>
      <c r="H33" s="133">
        <f t="shared" si="14"/>
        <v>9.1200000000000003E-2</v>
      </c>
      <c r="I33" s="71">
        <f t="shared" si="15"/>
        <v>2736000</v>
      </c>
      <c r="J33" s="35">
        <f t="shared" si="16"/>
        <v>0</v>
      </c>
      <c r="K33" s="36">
        <f t="shared" si="17"/>
        <v>2736000</v>
      </c>
      <c r="L33" s="103">
        <f>'Loss Experience'!P11</f>
        <v>0</v>
      </c>
      <c r="M33" s="66">
        <f t="shared" si="12"/>
        <v>0</v>
      </c>
      <c r="N33" s="36">
        <f t="shared" si="13"/>
        <v>2736000</v>
      </c>
      <c r="O33" s="102"/>
    </row>
    <row r="34" spans="2:15" x14ac:dyDescent="0.25">
      <c r="B34" s="70">
        <v>2011</v>
      </c>
      <c r="C34" s="98">
        <v>30000000</v>
      </c>
      <c r="D34" s="123" t="s">
        <v>38</v>
      </c>
      <c r="E34" s="75">
        <v>30000000</v>
      </c>
      <c r="F34" s="98">
        <f t="shared" si="11"/>
        <v>69800000</v>
      </c>
      <c r="G34" s="133">
        <v>0.04</v>
      </c>
      <c r="H34" s="133">
        <f t="shared" si="14"/>
        <v>9.3066666666666673E-2</v>
      </c>
      <c r="I34" s="71">
        <f t="shared" si="15"/>
        <v>2792000</v>
      </c>
      <c r="J34" s="35">
        <f t="shared" si="16"/>
        <v>0</v>
      </c>
      <c r="K34" s="36">
        <f t="shared" si="17"/>
        <v>2792000</v>
      </c>
      <c r="L34" s="103">
        <f>'Loss Experience'!P12</f>
        <v>0</v>
      </c>
      <c r="M34" s="66">
        <f t="shared" si="12"/>
        <v>0</v>
      </c>
      <c r="N34" s="36">
        <f t="shared" si="13"/>
        <v>2792000</v>
      </c>
      <c r="O34" s="102"/>
    </row>
    <row r="35" spans="2:15" x14ac:dyDescent="0.25">
      <c r="B35" s="70">
        <v>2012</v>
      </c>
      <c r="C35" s="98">
        <v>30000000</v>
      </c>
      <c r="D35" s="123" t="s">
        <v>38</v>
      </c>
      <c r="E35" s="75">
        <v>30000000</v>
      </c>
      <c r="F35" s="98">
        <f t="shared" si="11"/>
        <v>74300000</v>
      </c>
      <c r="G35" s="133">
        <v>0.04</v>
      </c>
      <c r="H35" s="133">
        <f t="shared" si="14"/>
        <v>9.9066666666666664E-2</v>
      </c>
      <c r="I35" s="71">
        <f t="shared" si="15"/>
        <v>2972000</v>
      </c>
      <c r="J35" s="35">
        <f t="shared" si="16"/>
        <v>0</v>
      </c>
      <c r="K35" s="36">
        <f t="shared" si="17"/>
        <v>2972000</v>
      </c>
      <c r="L35" s="103">
        <f>'Loss Experience'!P13</f>
        <v>0</v>
      </c>
      <c r="M35" s="66">
        <f t="shared" si="12"/>
        <v>0</v>
      </c>
      <c r="N35" s="36">
        <f t="shared" si="13"/>
        <v>2972000</v>
      </c>
      <c r="O35" s="102"/>
    </row>
    <row r="36" spans="2:15" x14ac:dyDescent="0.25">
      <c r="B36" s="70">
        <v>2013</v>
      </c>
      <c r="C36" s="98">
        <v>30000000</v>
      </c>
      <c r="D36" s="123" t="s">
        <v>38</v>
      </c>
      <c r="E36" s="75">
        <v>30000000</v>
      </c>
      <c r="F36" s="98">
        <f t="shared" si="11"/>
        <v>76600000</v>
      </c>
      <c r="G36" s="133">
        <v>0.04</v>
      </c>
      <c r="H36" s="133">
        <f t="shared" si="14"/>
        <v>0.10213333333333334</v>
      </c>
      <c r="I36" s="71">
        <f t="shared" si="15"/>
        <v>3064000</v>
      </c>
      <c r="J36" s="35">
        <f t="shared" si="16"/>
        <v>0</v>
      </c>
      <c r="K36" s="36">
        <f t="shared" si="17"/>
        <v>3064000</v>
      </c>
      <c r="L36" s="103">
        <f>'Loss Experience'!P14</f>
        <v>0</v>
      </c>
      <c r="M36" s="66">
        <f t="shared" si="12"/>
        <v>0</v>
      </c>
      <c r="N36" s="36">
        <f t="shared" si="13"/>
        <v>3064000</v>
      </c>
      <c r="O36" s="102"/>
    </row>
    <row r="37" spans="2:15" x14ac:dyDescent="0.25">
      <c r="B37" s="70">
        <v>2014</v>
      </c>
      <c r="C37" s="98">
        <v>30000000</v>
      </c>
      <c r="D37" s="123" t="s">
        <v>38</v>
      </c>
      <c r="E37" s="75">
        <v>30000000</v>
      </c>
      <c r="F37" s="98">
        <f t="shared" si="11"/>
        <v>79000000</v>
      </c>
      <c r="G37" s="133">
        <v>0.04</v>
      </c>
      <c r="H37" s="133">
        <f t="shared" si="14"/>
        <v>0.10533333333333333</v>
      </c>
      <c r="I37" s="71">
        <f t="shared" si="15"/>
        <v>3160000</v>
      </c>
      <c r="J37" s="35">
        <f t="shared" si="16"/>
        <v>0</v>
      </c>
      <c r="K37" s="36">
        <f t="shared" si="17"/>
        <v>3160000</v>
      </c>
      <c r="L37" s="103">
        <f>'Loss Experience'!P15</f>
        <v>0</v>
      </c>
      <c r="M37" s="66">
        <f t="shared" si="12"/>
        <v>0</v>
      </c>
      <c r="N37" s="36">
        <f t="shared" si="13"/>
        <v>3160000</v>
      </c>
      <c r="O37" s="102"/>
    </row>
    <row r="38" spans="2:15" x14ac:dyDescent="0.25">
      <c r="B38" s="70">
        <v>2015</v>
      </c>
      <c r="C38" s="98">
        <v>30000000</v>
      </c>
      <c r="D38" s="123" t="s">
        <v>38</v>
      </c>
      <c r="E38" s="75">
        <v>30000000</v>
      </c>
      <c r="F38" s="98">
        <f t="shared" si="11"/>
        <v>81400000</v>
      </c>
      <c r="G38" s="133">
        <v>0.04</v>
      </c>
      <c r="H38" s="133">
        <f t="shared" si="14"/>
        <v>0.10853333333333333</v>
      </c>
      <c r="I38" s="71">
        <f t="shared" si="15"/>
        <v>3256000</v>
      </c>
      <c r="J38" s="35">
        <f t="shared" si="16"/>
        <v>0</v>
      </c>
      <c r="K38" s="36">
        <f t="shared" si="17"/>
        <v>3256000</v>
      </c>
      <c r="L38" s="103">
        <f>'Loss Experience'!P16</f>
        <v>0</v>
      </c>
      <c r="M38" s="66">
        <f t="shared" si="12"/>
        <v>0</v>
      </c>
      <c r="N38" s="36">
        <f t="shared" si="13"/>
        <v>3256000</v>
      </c>
      <c r="O38" s="102"/>
    </row>
    <row r="39" spans="2:15" x14ac:dyDescent="0.25">
      <c r="B39" s="70">
        <v>2016</v>
      </c>
      <c r="C39" s="98">
        <v>30000000</v>
      </c>
      <c r="D39" s="123" t="s">
        <v>38</v>
      </c>
      <c r="E39" s="75">
        <v>30000000</v>
      </c>
      <c r="F39" s="98">
        <f t="shared" si="11"/>
        <v>89500000</v>
      </c>
      <c r="G39" s="133">
        <v>0.04</v>
      </c>
      <c r="H39" s="133">
        <f t="shared" si="14"/>
        <v>0.11933333333333333</v>
      </c>
      <c r="I39" s="71">
        <f t="shared" si="15"/>
        <v>3580000</v>
      </c>
      <c r="J39" s="35">
        <f t="shared" si="16"/>
        <v>0</v>
      </c>
      <c r="K39" s="36">
        <f t="shared" si="17"/>
        <v>3580000</v>
      </c>
      <c r="L39" s="103">
        <f>'Loss Experience'!P17</f>
        <v>0</v>
      </c>
      <c r="M39" s="66">
        <f t="shared" si="12"/>
        <v>0</v>
      </c>
      <c r="N39" s="36">
        <f t="shared" si="13"/>
        <v>3580000</v>
      </c>
      <c r="O39" s="102"/>
    </row>
    <row r="40" spans="2:15" x14ac:dyDescent="0.25">
      <c r="B40" s="70">
        <v>2017</v>
      </c>
      <c r="C40" s="98">
        <v>30000000</v>
      </c>
      <c r="D40" s="123" t="s">
        <v>38</v>
      </c>
      <c r="E40" s="75">
        <v>30000000</v>
      </c>
      <c r="F40" s="98">
        <f t="shared" si="11"/>
        <v>99400000</v>
      </c>
      <c r="G40" s="133">
        <v>0.04</v>
      </c>
      <c r="H40" s="133">
        <f t="shared" si="14"/>
        <v>0.13253333333333334</v>
      </c>
      <c r="I40" s="71">
        <f t="shared" si="15"/>
        <v>3976000</v>
      </c>
      <c r="J40" s="35">
        <f t="shared" si="16"/>
        <v>0</v>
      </c>
      <c r="K40" s="36">
        <f t="shared" si="17"/>
        <v>3976000</v>
      </c>
      <c r="L40" s="103">
        <f>'Loss Experience'!P18</f>
        <v>0</v>
      </c>
      <c r="M40" s="66">
        <f t="shared" si="12"/>
        <v>0</v>
      </c>
      <c r="N40" s="36">
        <f t="shared" si="13"/>
        <v>3976000</v>
      </c>
      <c r="O40" s="102"/>
    </row>
    <row r="41" spans="2:15" x14ac:dyDescent="0.25">
      <c r="B41" s="70">
        <v>2018</v>
      </c>
      <c r="C41" s="98">
        <v>30000000</v>
      </c>
      <c r="D41" s="123" t="s">
        <v>38</v>
      </c>
      <c r="E41" s="75">
        <v>30000000</v>
      </c>
      <c r="F41" s="98">
        <f t="shared" si="11"/>
        <v>105700000</v>
      </c>
      <c r="G41" s="133">
        <v>0.04</v>
      </c>
      <c r="H41" s="133">
        <f t="shared" si="14"/>
        <v>0.14093333333333333</v>
      </c>
      <c r="I41" s="71">
        <f t="shared" si="15"/>
        <v>4228000</v>
      </c>
      <c r="J41" s="35">
        <f t="shared" si="16"/>
        <v>0</v>
      </c>
      <c r="K41" s="36">
        <f t="shared" si="17"/>
        <v>4228000</v>
      </c>
      <c r="L41" s="103">
        <f>'Loss Experience'!P19</f>
        <v>0</v>
      </c>
      <c r="M41" s="66">
        <f t="shared" si="12"/>
        <v>0</v>
      </c>
      <c r="N41" s="36">
        <f t="shared" si="13"/>
        <v>4228000</v>
      </c>
      <c r="O41" s="102"/>
    </row>
    <row r="42" spans="2:15" x14ac:dyDescent="0.25">
      <c r="B42" s="70">
        <v>2019</v>
      </c>
      <c r="C42" s="98">
        <v>30000000</v>
      </c>
      <c r="D42" s="123" t="s">
        <v>38</v>
      </c>
      <c r="E42" s="75">
        <v>30000000</v>
      </c>
      <c r="F42" s="98">
        <f t="shared" si="11"/>
        <v>110100000</v>
      </c>
      <c r="G42" s="133">
        <v>0.04</v>
      </c>
      <c r="H42" s="133">
        <f t="shared" si="14"/>
        <v>0.14680000000000001</v>
      </c>
      <c r="I42" s="71">
        <f t="shared" si="15"/>
        <v>4404000</v>
      </c>
      <c r="J42" s="35">
        <f t="shared" si="16"/>
        <v>0</v>
      </c>
      <c r="K42" s="36">
        <f t="shared" si="17"/>
        <v>4404000</v>
      </c>
      <c r="L42" s="103">
        <f>'Loss Experience'!P20</f>
        <v>0</v>
      </c>
      <c r="M42" s="66">
        <f t="shared" si="12"/>
        <v>0</v>
      </c>
      <c r="N42" s="36">
        <f t="shared" si="13"/>
        <v>4404000</v>
      </c>
      <c r="O42" s="102"/>
    </row>
    <row r="43" spans="2:15" x14ac:dyDescent="0.25">
      <c r="B43" s="70">
        <v>2020</v>
      </c>
      <c r="C43" s="98">
        <v>30000000</v>
      </c>
      <c r="D43" s="123" t="s">
        <v>38</v>
      </c>
      <c r="E43" s="75">
        <v>30000000</v>
      </c>
      <c r="F43" s="98">
        <f t="shared" si="11"/>
        <v>110100000</v>
      </c>
      <c r="G43" s="133">
        <v>0.04</v>
      </c>
      <c r="H43" s="133">
        <f t="shared" si="14"/>
        <v>0.14680000000000001</v>
      </c>
      <c r="I43" s="71">
        <f t="shared" si="15"/>
        <v>4404000</v>
      </c>
      <c r="J43" s="35">
        <f t="shared" si="16"/>
        <v>0</v>
      </c>
      <c r="K43" s="36">
        <f t="shared" si="17"/>
        <v>4404000</v>
      </c>
      <c r="L43" s="103">
        <f>'Loss Experience'!P21</f>
        <v>0</v>
      </c>
      <c r="M43" s="66">
        <f t="shared" si="12"/>
        <v>0</v>
      </c>
      <c r="N43" s="36">
        <f t="shared" si="13"/>
        <v>4404000</v>
      </c>
      <c r="O43" s="102"/>
    </row>
    <row r="44" spans="2:15" x14ac:dyDescent="0.25">
      <c r="B44" s="70">
        <v>2021</v>
      </c>
      <c r="C44" s="98">
        <v>30000000</v>
      </c>
      <c r="D44" s="123" t="s">
        <v>38</v>
      </c>
      <c r="E44" s="75">
        <v>30000000</v>
      </c>
      <c r="F44" s="98">
        <f t="shared" si="11"/>
        <v>111200000</v>
      </c>
      <c r="G44" s="133">
        <v>0.04</v>
      </c>
      <c r="H44" s="133">
        <f t="shared" si="14"/>
        <v>0.14826666666666666</v>
      </c>
      <c r="I44" s="71">
        <f t="shared" si="15"/>
        <v>4448000</v>
      </c>
      <c r="J44" s="35">
        <f t="shared" si="16"/>
        <v>1186133.3333333333</v>
      </c>
      <c r="K44" s="36">
        <f t="shared" si="17"/>
        <v>5634133.333333333</v>
      </c>
      <c r="L44" s="103">
        <f>'Loss Experience'!P22</f>
        <v>8000000</v>
      </c>
      <c r="M44" s="66">
        <f t="shared" si="12"/>
        <v>1.4199166982203713</v>
      </c>
      <c r="N44" s="36">
        <f t="shared" si="13"/>
        <v>-2365866.666666667</v>
      </c>
      <c r="O44" s="102"/>
    </row>
    <row r="45" spans="2:15" x14ac:dyDescent="0.25">
      <c r="B45" s="124">
        <v>2022</v>
      </c>
      <c r="C45" s="125">
        <v>30000000</v>
      </c>
      <c r="D45" s="126" t="s">
        <v>38</v>
      </c>
      <c r="E45" s="127">
        <v>30000000</v>
      </c>
      <c r="F45" s="125">
        <f t="shared" si="11"/>
        <v>116999999.99999999</v>
      </c>
      <c r="G45" s="134">
        <v>0.04</v>
      </c>
      <c r="H45" s="134">
        <f t="shared" si="14"/>
        <v>0.15599999999999997</v>
      </c>
      <c r="I45" s="71">
        <f t="shared" si="15"/>
        <v>4679999.9999999991</v>
      </c>
      <c r="J45" s="35">
        <f t="shared" si="16"/>
        <v>0</v>
      </c>
      <c r="K45" s="36">
        <f t="shared" si="17"/>
        <v>4679999.9999999991</v>
      </c>
      <c r="L45" s="103">
        <f>'Loss Experience'!P23</f>
        <v>0</v>
      </c>
      <c r="M45" s="66">
        <f t="shared" si="12"/>
        <v>0</v>
      </c>
      <c r="N45" s="36">
        <f t="shared" si="13"/>
        <v>4679999.9999999991</v>
      </c>
      <c r="O45" s="102"/>
    </row>
    <row r="46" spans="2:15" x14ac:dyDescent="0.25">
      <c r="B46" s="80"/>
      <c r="C46" s="128"/>
      <c r="D46" s="128"/>
      <c r="E46" s="128"/>
      <c r="F46" s="129"/>
      <c r="G46" s="129"/>
      <c r="H46" s="129" t="s">
        <v>39</v>
      </c>
      <c r="I46" s="130">
        <f t="shared" ref="I46:L46" si="18">SUM(I31:I45)</f>
        <v>52428000</v>
      </c>
      <c r="J46" s="109">
        <f t="shared" si="18"/>
        <v>1783466.6666666665</v>
      </c>
      <c r="K46" s="99">
        <f t="shared" si="18"/>
        <v>54211466.666666672</v>
      </c>
      <c r="L46" s="131">
        <f t="shared" si="18"/>
        <v>16000000</v>
      </c>
      <c r="M46" s="132">
        <f t="shared" si="12"/>
        <v>0.29514051147850634</v>
      </c>
      <c r="N46" s="99">
        <f>SUM(N31:N45)</f>
        <v>38211466.666666664</v>
      </c>
    </row>
    <row r="47" spans="2:15" x14ac:dyDescent="0.25">
      <c r="B47" s="33"/>
      <c r="F47" s="108"/>
      <c r="G47" s="108"/>
      <c r="H47" s="108" t="s">
        <v>73</v>
      </c>
      <c r="I47" s="71">
        <f>AVERAGE(I31:I45)</f>
        <v>3495200</v>
      </c>
      <c r="J47" s="35">
        <f t="shared" ref="J47:L47" si="19">AVERAGE(J31:J45)</f>
        <v>118897.77777777777</v>
      </c>
      <c r="K47" s="36">
        <f t="shared" si="19"/>
        <v>3614097.777777778</v>
      </c>
      <c r="L47" s="64">
        <f t="shared" si="19"/>
        <v>1066666.6666666667</v>
      </c>
      <c r="M47" s="66">
        <f t="shared" si="12"/>
        <v>0.2951405114785064</v>
      </c>
      <c r="N47" s="36">
        <f>AVERAGE(N31:N45)</f>
        <v>2547431.111111111</v>
      </c>
    </row>
    <row r="48" spans="2:15" x14ac:dyDescent="0.25">
      <c r="B48" s="33"/>
      <c r="F48" s="108"/>
      <c r="G48" s="108"/>
      <c r="H48" s="108" t="s">
        <v>74</v>
      </c>
      <c r="I48" s="71">
        <f>AVERAGE(I36:I45)</f>
        <v>3920000</v>
      </c>
      <c r="J48" s="35">
        <f t="shared" ref="J48:L48" si="20">AVERAGE(J36:J45)</f>
        <v>118613.33333333333</v>
      </c>
      <c r="K48" s="36">
        <f t="shared" si="20"/>
        <v>4038613.3333333335</v>
      </c>
      <c r="L48" s="64">
        <f t="shared" si="20"/>
        <v>800000</v>
      </c>
      <c r="M48" s="66">
        <f t="shared" si="12"/>
        <v>0.19808779250964026</v>
      </c>
      <c r="N48" s="36">
        <f>AVERAGE(N36:N45)</f>
        <v>3238613.333333333</v>
      </c>
    </row>
    <row r="49" spans="2:15" x14ac:dyDescent="0.25">
      <c r="B49" s="33"/>
      <c r="F49" s="108"/>
      <c r="G49" s="108"/>
      <c r="H49" s="108" t="s">
        <v>75</v>
      </c>
      <c r="I49" s="71">
        <f>AVERAGE(I39:I45)</f>
        <v>4245714.2857142854</v>
      </c>
      <c r="J49" s="35">
        <f t="shared" ref="J49:L49" si="21">AVERAGE(J39:J45)</f>
        <v>169447.61904761902</v>
      </c>
      <c r="K49" s="36">
        <f t="shared" si="21"/>
        <v>4415161.9047619049</v>
      </c>
      <c r="L49" s="64">
        <f t="shared" si="21"/>
        <v>1142857.142857143</v>
      </c>
      <c r="M49" s="66">
        <f t="shared" si="12"/>
        <v>0.25884829764102918</v>
      </c>
      <c r="N49" s="36">
        <f>AVERAGE(N39:N45)</f>
        <v>3272304.7619047617</v>
      </c>
    </row>
    <row r="50" spans="2:15" x14ac:dyDescent="0.25">
      <c r="B50" s="37"/>
      <c r="C50" s="65"/>
      <c r="D50" s="65"/>
      <c r="E50" s="65"/>
      <c r="F50" s="119"/>
      <c r="G50" s="119"/>
      <c r="H50" s="119" t="s">
        <v>76</v>
      </c>
      <c r="I50" s="72">
        <f>AVERAGE(I41:I45)</f>
        <v>4432800</v>
      </c>
      <c r="J50" s="38">
        <f t="shared" ref="J50:L50" si="22">AVERAGE(J41:J45)</f>
        <v>237226.66666666666</v>
      </c>
      <c r="K50" s="39">
        <f t="shared" si="22"/>
        <v>4670026.666666666</v>
      </c>
      <c r="L50" s="101">
        <f t="shared" si="22"/>
        <v>1600000</v>
      </c>
      <c r="M50" s="67">
        <f t="shared" si="12"/>
        <v>0.34261046332354994</v>
      </c>
      <c r="N50" s="39">
        <f>AVERAGE(N41:N45)</f>
        <v>3070026.6666666665</v>
      </c>
    </row>
    <row r="51" spans="2:15" x14ac:dyDescent="0.25">
      <c r="F51" s="108"/>
      <c r="G51" s="108"/>
      <c r="H51" s="108"/>
      <c r="I51" s="35"/>
      <c r="J51" s="35"/>
      <c r="K51" s="35"/>
      <c r="L51" s="35"/>
      <c r="M51" s="105"/>
      <c r="N51" s="35"/>
    </row>
    <row r="52" spans="2:15" x14ac:dyDescent="0.25">
      <c r="F52" s="108"/>
      <c r="G52" s="108"/>
      <c r="H52" s="108"/>
      <c r="I52" s="35"/>
      <c r="J52" s="35"/>
      <c r="K52" s="35"/>
      <c r="L52" s="35"/>
      <c r="M52" s="105"/>
      <c r="N52" s="35"/>
    </row>
    <row r="53" spans="2:15" x14ac:dyDescent="0.25">
      <c r="B53" s="152" t="s">
        <v>102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2:15" x14ac:dyDescent="0.25">
      <c r="H54" s="120"/>
    </row>
    <row r="55" spans="2:15" x14ac:dyDescent="0.25">
      <c r="B55" s="54"/>
      <c r="C55" s="175" t="s">
        <v>33</v>
      </c>
      <c r="D55" s="176"/>
      <c r="E55" s="177"/>
      <c r="F55" s="44" t="s">
        <v>80</v>
      </c>
      <c r="G55" s="5"/>
      <c r="H55" s="5"/>
      <c r="I55" s="175" t="s">
        <v>62</v>
      </c>
      <c r="J55" s="176"/>
      <c r="K55" s="177"/>
      <c r="L55" s="54" t="s">
        <v>67</v>
      </c>
      <c r="M55" s="45" t="s">
        <v>67</v>
      </c>
      <c r="N55" s="45" t="s">
        <v>78</v>
      </c>
    </row>
    <row r="56" spans="2:15" x14ac:dyDescent="0.25">
      <c r="B56" s="61" t="s">
        <v>32</v>
      </c>
      <c r="C56" s="43" t="s">
        <v>19</v>
      </c>
      <c r="D56" s="8" t="s">
        <v>38</v>
      </c>
      <c r="E56" s="10" t="s">
        <v>20</v>
      </c>
      <c r="F56" s="43" t="s">
        <v>29</v>
      </c>
      <c r="G56" s="9" t="s">
        <v>71</v>
      </c>
      <c r="H56" s="9" t="s">
        <v>72</v>
      </c>
      <c r="I56" s="43" t="s">
        <v>41</v>
      </c>
      <c r="J56" s="9" t="s">
        <v>42</v>
      </c>
      <c r="K56" s="10" t="s">
        <v>0</v>
      </c>
      <c r="L56" s="61" t="s">
        <v>77</v>
      </c>
      <c r="M56" s="10" t="s">
        <v>40</v>
      </c>
      <c r="N56" s="10" t="s">
        <v>79</v>
      </c>
    </row>
    <row r="57" spans="2:15" x14ac:dyDescent="0.25">
      <c r="B57" s="70">
        <v>2008</v>
      </c>
      <c r="C57" s="98">
        <v>50000000</v>
      </c>
      <c r="D57" s="123" t="s">
        <v>38</v>
      </c>
      <c r="E57" s="75">
        <v>20000000</v>
      </c>
      <c r="F57" s="98">
        <f t="shared" ref="F57:F71" si="23">F31</f>
        <v>56000000</v>
      </c>
      <c r="G57" s="133">
        <v>0.04</v>
      </c>
      <c r="H57" s="133">
        <f>I57/C57</f>
        <v>4.48E-2</v>
      </c>
      <c r="I57" s="71">
        <f>F57*G57</f>
        <v>2240000</v>
      </c>
      <c r="J57" s="35">
        <v>0</v>
      </c>
      <c r="K57" s="36">
        <f>I57+J57</f>
        <v>2240000</v>
      </c>
      <c r="L57" s="103">
        <f>'Loss Experience'!R9</f>
        <v>0</v>
      </c>
      <c r="M57" s="66">
        <f t="shared" ref="M57:M76" si="24">L57/K57</f>
        <v>0</v>
      </c>
      <c r="N57" s="36">
        <f t="shared" ref="N57:N71" si="25">K57-L57</f>
        <v>2240000</v>
      </c>
      <c r="O57" s="102"/>
    </row>
    <row r="58" spans="2:15" x14ac:dyDescent="0.25">
      <c r="B58" s="70">
        <v>2009</v>
      </c>
      <c r="C58" s="98">
        <v>50000000</v>
      </c>
      <c r="D58" s="123" t="s">
        <v>38</v>
      </c>
      <c r="E58" s="75">
        <v>20000000</v>
      </c>
      <c r="F58" s="98">
        <f t="shared" si="23"/>
        <v>62200000</v>
      </c>
      <c r="G58" s="133">
        <v>0.04</v>
      </c>
      <c r="H58" s="133">
        <f t="shared" ref="H58:H71" si="26">I58/C58</f>
        <v>4.9759999999999999E-2</v>
      </c>
      <c r="I58" s="71">
        <f t="shared" ref="I58:I71" si="27">F58*G58</f>
        <v>2488000</v>
      </c>
      <c r="J58" s="35">
        <v>0</v>
      </c>
      <c r="K58" s="36">
        <f t="shared" ref="K58:K71" si="28">I58+J58</f>
        <v>2488000</v>
      </c>
      <c r="L58" s="103">
        <f>'Loss Experience'!R10</f>
        <v>0</v>
      </c>
      <c r="M58" s="66">
        <f t="shared" si="24"/>
        <v>0</v>
      </c>
      <c r="N58" s="36">
        <f t="shared" si="25"/>
        <v>2488000</v>
      </c>
      <c r="O58" s="102"/>
    </row>
    <row r="59" spans="2:15" x14ac:dyDescent="0.25">
      <c r="B59" s="70">
        <v>2010</v>
      </c>
      <c r="C59" s="98">
        <v>50000000</v>
      </c>
      <c r="D59" s="123" t="s">
        <v>38</v>
      </c>
      <c r="E59" s="75">
        <v>20000000</v>
      </c>
      <c r="F59" s="98">
        <f t="shared" si="23"/>
        <v>68400000</v>
      </c>
      <c r="G59" s="133">
        <v>0.04</v>
      </c>
      <c r="H59" s="133">
        <f t="shared" si="26"/>
        <v>5.4719999999999998E-2</v>
      </c>
      <c r="I59" s="71">
        <f t="shared" si="27"/>
        <v>2736000</v>
      </c>
      <c r="J59" s="35">
        <v>0</v>
      </c>
      <c r="K59" s="36">
        <f t="shared" si="28"/>
        <v>2736000</v>
      </c>
      <c r="L59" s="103">
        <f>'Loss Experience'!R11</f>
        <v>0</v>
      </c>
      <c r="M59" s="66">
        <f t="shared" si="24"/>
        <v>0</v>
      </c>
      <c r="N59" s="36">
        <f t="shared" si="25"/>
        <v>2736000</v>
      </c>
      <c r="O59" s="102"/>
    </row>
    <row r="60" spans="2:15" x14ac:dyDescent="0.25">
      <c r="B60" s="70">
        <v>2011</v>
      </c>
      <c r="C60" s="98">
        <v>50000000</v>
      </c>
      <c r="D60" s="123" t="s">
        <v>38</v>
      </c>
      <c r="E60" s="75">
        <v>20000000</v>
      </c>
      <c r="F60" s="98">
        <f t="shared" si="23"/>
        <v>69800000</v>
      </c>
      <c r="G60" s="133">
        <v>0.04</v>
      </c>
      <c r="H60" s="133">
        <f t="shared" si="26"/>
        <v>5.5840000000000001E-2</v>
      </c>
      <c r="I60" s="71">
        <f t="shared" si="27"/>
        <v>2792000</v>
      </c>
      <c r="J60" s="35">
        <v>0</v>
      </c>
      <c r="K60" s="36">
        <f t="shared" si="28"/>
        <v>2792000</v>
      </c>
      <c r="L60" s="103">
        <f>'Loss Experience'!R12</f>
        <v>0</v>
      </c>
      <c r="M60" s="66">
        <f t="shared" si="24"/>
        <v>0</v>
      </c>
      <c r="N60" s="36">
        <f t="shared" si="25"/>
        <v>2792000</v>
      </c>
      <c r="O60" s="102"/>
    </row>
    <row r="61" spans="2:15" x14ac:dyDescent="0.25">
      <c r="B61" s="70">
        <v>2012</v>
      </c>
      <c r="C61" s="98">
        <v>50000000</v>
      </c>
      <c r="D61" s="123" t="s">
        <v>38</v>
      </c>
      <c r="E61" s="75">
        <v>20000000</v>
      </c>
      <c r="F61" s="98">
        <f t="shared" si="23"/>
        <v>74300000</v>
      </c>
      <c r="G61" s="133">
        <v>0.04</v>
      </c>
      <c r="H61" s="133">
        <f t="shared" si="26"/>
        <v>5.944E-2</v>
      </c>
      <c r="I61" s="71">
        <f t="shared" si="27"/>
        <v>2972000</v>
      </c>
      <c r="J61" s="35">
        <v>0</v>
      </c>
      <c r="K61" s="36">
        <f t="shared" si="28"/>
        <v>2972000</v>
      </c>
      <c r="L61" s="103">
        <f>'Loss Experience'!R13</f>
        <v>0</v>
      </c>
      <c r="M61" s="66">
        <f t="shared" si="24"/>
        <v>0</v>
      </c>
      <c r="N61" s="36">
        <f t="shared" si="25"/>
        <v>2972000</v>
      </c>
      <c r="O61" s="102"/>
    </row>
    <row r="62" spans="2:15" x14ac:dyDescent="0.25">
      <c r="B62" s="70">
        <v>2013</v>
      </c>
      <c r="C62" s="98">
        <v>50000000</v>
      </c>
      <c r="D62" s="123" t="s">
        <v>38</v>
      </c>
      <c r="E62" s="75">
        <v>20000000</v>
      </c>
      <c r="F62" s="98">
        <f t="shared" si="23"/>
        <v>76600000</v>
      </c>
      <c r="G62" s="133">
        <v>0.04</v>
      </c>
      <c r="H62" s="133">
        <f t="shared" si="26"/>
        <v>6.1280000000000001E-2</v>
      </c>
      <c r="I62" s="71">
        <f t="shared" si="27"/>
        <v>3064000</v>
      </c>
      <c r="J62" s="35">
        <v>0</v>
      </c>
      <c r="K62" s="36">
        <f t="shared" si="28"/>
        <v>3064000</v>
      </c>
      <c r="L62" s="103">
        <f>'Loss Experience'!R14</f>
        <v>0</v>
      </c>
      <c r="M62" s="66">
        <f t="shared" si="24"/>
        <v>0</v>
      </c>
      <c r="N62" s="36">
        <f t="shared" si="25"/>
        <v>3064000</v>
      </c>
      <c r="O62" s="102"/>
    </row>
    <row r="63" spans="2:15" x14ac:dyDescent="0.25">
      <c r="B63" s="70">
        <v>2014</v>
      </c>
      <c r="C63" s="98">
        <v>50000000</v>
      </c>
      <c r="D63" s="123" t="s">
        <v>38</v>
      </c>
      <c r="E63" s="75">
        <v>20000000</v>
      </c>
      <c r="F63" s="98">
        <f t="shared" si="23"/>
        <v>79000000</v>
      </c>
      <c r="G63" s="133">
        <v>0.04</v>
      </c>
      <c r="H63" s="133">
        <f t="shared" si="26"/>
        <v>6.3200000000000006E-2</v>
      </c>
      <c r="I63" s="71">
        <f t="shared" si="27"/>
        <v>3160000</v>
      </c>
      <c r="J63" s="35">
        <v>0</v>
      </c>
      <c r="K63" s="36">
        <f t="shared" si="28"/>
        <v>3160000</v>
      </c>
      <c r="L63" s="103">
        <f>'Loss Experience'!R15</f>
        <v>0</v>
      </c>
      <c r="M63" s="66">
        <f t="shared" si="24"/>
        <v>0</v>
      </c>
      <c r="N63" s="36">
        <f t="shared" si="25"/>
        <v>3160000</v>
      </c>
      <c r="O63" s="102"/>
    </row>
    <row r="64" spans="2:15" x14ac:dyDescent="0.25">
      <c r="B64" s="70">
        <v>2015</v>
      </c>
      <c r="C64" s="98">
        <v>50000000</v>
      </c>
      <c r="D64" s="123" t="s">
        <v>38</v>
      </c>
      <c r="E64" s="75">
        <v>20000000</v>
      </c>
      <c r="F64" s="98">
        <f t="shared" si="23"/>
        <v>81400000</v>
      </c>
      <c r="G64" s="133">
        <v>0.04</v>
      </c>
      <c r="H64" s="133">
        <f t="shared" si="26"/>
        <v>6.5119999999999997E-2</v>
      </c>
      <c r="I64" s="71">
        <f t="shared" si="27"/>
        <v>3256000</v>
      </c>
      <c r="J64" s="35">
        <v>0</v>
      </c>
      <c r="K64" s="36">
        <f t="shared" si="28"/>
        <v>3256000</v>
      </c>
      <c r="L64" s="103">
        <f>'Loss Experience'!R16</f>
        <v>0</v>
      </c>
      <c r="M64" s="66">
        <f t="shared" si="24"/>
        <v>0</v>
      </c>
      <c r="N64" s="36">
        <f t="shared" si="25"/>
        <v>3256000</v>
      </c>
      <c r="O64" s="102"/>
    </row>
    <row r="65" spans="2:15" x14ac:dyDescent="0.25">
      <c r="B65" s="70">
        <v>2016</v>
      </c>
      <c r="C65" s="98">
        <v>50000000</v>
      </c>
      <c r="D65" s="123" t="s">
        <v>38</v>
      </c>
      <c r="E65" s="75">
        <v>20000000</v>
      </c>
      <c r="F65" s="98">
        <f t="shared" si="23"/>
        <v>89500000</v>
      </c>
      <c r="G65" s="133">
        <v>0.04</v>
      </c>
      <c r="H65" s="133">
        <f t="shared" si="26"/>
        <v>7.1599999999999997E-2</v>
      </c>
      <c r="I65" s="71">
        <f t="shared" si="27"/>
        <v>3580000</v>
      </c>
      <c r="J65" s="35">
        <v>0</v>
      </c>
      <c r="K65" s="36">
        <f t="shared" si="28"/>
        <v>3580000</v>
      </c>
      <c r="L65" s="103">
        <f>'Loss Experience'!R17</f>
        <v>0</v>
      </c>
      <c r="M65" s="66">
        <f t="shared" si="24"/>
        <v>0</v>
      </c>
      <c r="N65" s="36">
        <f t="shared" si="25"/>
        <v>3580000</v>
      </c>
      <c r="O65" s="102"/>
    </row>
    <row r="66" spans="2:15" x14ac:dyDescent="0.25">
      <c r="B66" s="70">
        <v>2017</v>
      </c>
      <c r="C66" s="98">
        <v>50000000</v>
      </c>
      <c r="D66" s="123" t="s">
        <v>38</v>
      </c>
      <c r="E66" s="75">
        <v>20000000</v>
      </c>
      <c r="F66" s="98">
        <f t="shared" si="23"/>
        <v>99400000</v>
      </c>
      <c r="G66" s="133">
        <v>0.04</v>
      </c>
      <c r="H66" s="133">
        <f t="shared" si="26"/>
        <v>7.9519999999999993E-2</v>
      </c>
      <c r="I66" s="71">
        <f t="shared" si="27"/>
        <v>3976000</v>
      </c>
      <c r="J66" s="35">
        <v>0</v>
      </c>
      <c r="K66" s="36">
        <f t="shared" si="28"/>
        <v>3976000</v>
      </c>
      <c r="L66" s="103">
        <f>'Loss Experience'!R18</f>
        <v>38000000</v>
      </c>
      <c r="M66" s="66">
        <f t="shared" si="24"/>
        <v>9.5573440643863172</v>
      </c>
      <c r="N66" s="36">
        <f t="shared" si="25"/>
        <v>-34024000</v>
      </c>
      <c r="O66" s="146"/>
    </row>
    <row r="67" spans="2:15" x14ac:dyDescent="0.25">
      <c r="B67" s="70">
        <v>2018</v>
      </c>
      <c r="C67" s="98">
        <v>50000000</v>
      </c>
      <c r="D67" s="123" t="s">
        <v>38</v>
      </c>
      <c r="E67" s="75">
        <v>20000000</v>
      </c>
      <c r="F67" s="98">
        <f t="shared" si="23"/>
        <v>105700000</v>
      </c>
      <c r="G67" s="133">
        <v>0.04</v>
      </c>
      <c r="H67" s="133">
        <f t="shared" si="26"/>
        <v>8.4559999999999996E-2</v>
      </c>
      <c r="I67" s="71">
        <f t="shared" si="27"/>
        <v>4228000</v>
      </c>
      <c r="J67" s="35">
        <v>0</v>
      </c>
      <c r="K67" s="36">
        <f t="shared" si="28"/>
        <v>4228000</v>
      </c>
      <c r="L67" s="103">
        <f>'Loss Experience'!R19</f>
        <v>0</v>
      </c>
      <c r="M67" s="66">
        <f t="shared" si="24"/>
        <v>0</v>
      </c>
      <c r="N67" s="36">
        <f t="shared" si="25"/>
        <v>4228000</v>
      </c>
      <c r="O67" s="102"/>
    </row>
    <row r="68" spans="2:15" x14ac:dyDescent="0.25">
      <c r="B68" s="70">
        <v>2019</v>
      </c>
      <c r="C68" s="98">
        <v>50000000</v>
      </c>
      <c r="D68" s="123" t="s">
        <v>38</v>
      </c>
      <c r="E68" s="75">
        <v>20000000</v>
      </c>
      <c r="F68" s="98">
        <f t="shared" si="23"/>
        <v>110100000</v>
      </c>
      <c r="G68" s="133">
        <v>0.04</v>
      </c>
      <c r="H68" s="133">
        <f t="shared" si="26"/>
        <v>8.8080000000000006E-2</v>
      </c>
      <c r="I68" s="71">
        <f t="shared" si="27"/>
        <v>4404000</v>
      </c>
      <c r="J68" s="35">
        <v>0</v>
      </c>
      <c r="K68" s="36">
        <f t="shared" si="28"/>
        <v>4404000</v>
      </c>
      <c r="L68" s="103">
        <f>'Loss Experience'!R20</f>
        <v>0</v>
      </c>
      <c r="M68" s="66">
        <f t="shared" si="24"/>
        <v>0</v>
      </c>
      <c r="N68" s="36">
        <f t="shared" si="25"/>
        <v>4404000</v>
      </c>
      <c r="O68" s="102"/>
    </row>
    <row r="69" spans="2:15" x14ac:dyDescent="0.25">
      <c r="B69" s="70">
        <v>2020</v>
      </c>
      <c r="C69" s="98">
        <v>50000000</v>
      </c>
      <c r="D69" s="123" t="s">
        <v>38</v>
      </c>
      <c r="E69" s="75">
        <v>20000000</v>
      </c>
      <c r="F69" s="98">
        <f t="shared" si="23"/>
        <v>110100000</v>
      </c>
      <c r="G69" s="133">
        <v>0.04</v>
      </c>
      <c r="H69" s="133">
        <f t="shared" si="26"/>
        <v>8.8080000000000006E-2</v>
      </c>
      <c r="I69" s="71">
        <f t="shared" si="27"/>
        <v>4404000</v>
      </c>
      <c r="J69" s="35">
        <v>0</v>
      </c>
      <c r="K69" s="36">
        <f t="shared" si="28"/>
        <v>4404000</v>
      </c>
      <c r="L69" s="103">
        <f>'Loss Experience'!R21</f>
        <v>5000000</v>
      </c>
      <c r="M69" s="66">
        <f t="shared" si="24"/>
        <v>1.1353315168029066</v>
      </c>
      <c r="N69" s="36">
        <f t="shared" si="25"/>
        <v>-596000</v>
      </c>
      <c r="O69" s="102"/>
    </row>
    <row r="70" spans="2:15" x14ac:dyDescent="0.25">
      <c r="B70" s="70">
        <v>2021</v>
      </c>
      <c r="C70" s="98">
        <v>50000000</v>
      </c>
      <c r="D70" s="123" t="s">
        <v>38</v>
      </c>
      <c r="E70" s="75">
        <v>20000000</v>
      </c>
      <c r="F70" s="98">
        <f t="shared" si="23"/>
        <v>111200000</v>
      </c>
      <c r="G70" s="133">
        <v>0.04</v>
      </c>
      <c r="H70" s="133">
        <f t="shared" si="26"/>
        <v>8.8959999999999997E-2</v>
      </c>
      <c r="I70" s="71">
        <f t="shared" si="27"/>
        <v>4448000</v>
      </c>
      <c r="J70" s="35">
        <v>0</v>
      </c>
      <c r="K70" s="36">
        <f t="shared" si="28"/>
        <v>4448000</v>
      </c>
      <c r="L70" s="103">
        <f>'Loss Experience'!R22</f>
        <v>0</v>
      </c>
      <c r="M70" s="66">
        <f t="shared" si="24"/>
        <v>0</v>
      </c>
      <c r="N70" s="36">
        <f t="shared" si="25"/>
        <v>4448000</v>
      </c>
      <c r="O70" s="102"/>
    </row>
    <row r="71" spans="2:15" x14ac:dyDescent="0.25">
      <c r="B71" s="124">
        <v>2022</v>
      </c>
      <c r="C71" s="125">
        <v>50000000</v>
      </c>
      <c r="D71" s="126" t="s">
        <v>38</v>
      </c>
      <c r="E71" s="127">
        <v>20000000</v>
      </c>
      <c r="F71" s="125">
        <f t="shared" si="23"/>
        <v>116999999.99999999</v>
      </c>
      <c r="G71" s="134">
        <v>0.04</v>
      </c>
      <c r="H71" s="134">
        <f t="shared" si="26"/>
        <v>9.3599999999999975E-2</v>
      </c>
      <c r="I71" s="71">
        <f t="shared" si="27"/>
        <v>4679999.9999999991</v>
      </c>
      <c r="J71" s="35">
        <v>0</v>
      </c>
      <c r="K71" s="36">
        <f t="shared" si="28"/>
        <v>4679999.9999999991</v>
      </c>
      <c r="L71" s="103">
        <f>'Loss Experience'!R23</f>
        <v>1000000</v>
      </c>
      <c r="M71" s="66">
        <f t="shared" si="24"/>
        <v>0.21367521367521372</v>
      </c>
      <c r="N71" s="36">
        <f t="shared" si="25"/>
        <v>3679999.9999999991</v>
      </c>
      <c r="O71" s="102"/>
    </row>
    <row r="72" spans="2:15" x14ac:dyDescent="0.25">
      <c r="B72" s="80"/>
      <c r="C72" s="128"/>
      <c r="D72" s="128"/>
      <c r="E72" s="128"/>
      <c r="F72" s="129"/>
      <c r="G72" s="129"/>
      <c r="H72" s="129" t="s">
        <v>39</v>
      </c>
      <c r="I72" s="130">
        <f t="shared" ref="I72:L72" si="29">SUM(I57:I71)</f>
        <v>52428000</v>
      </c>
      <c r="J72" s="109">
        <f t="shared" si="29"/>
        <v>0</v>
      </c>
      <c r="K72" s="99">
        <f t="shared" si="29"/>
        <v>52428000</v>
      </c>
      <c r="L72" s="131">
        <f t="shared" si="29"/>
        <v>44000000</v>
      </c>
      <c r="M72" s="132">
        <f t="shared" si="24"/>
        <v>0.83924620431830321</v>
      </c>
      <c r="N72" s="99">
        <f>SUM(N57:N71)</f>
        <v>8428000</v>
      </c>
    </row>
    <row r="73" spans="2:15" x14ac:dyDescent="0.25">
      <c r="B73" s="33"/>
      <c r="F73" s="108"/>
      <c r="G73" s="108"/>
      <c r="H73" s="108" t="s">
        <v>73</v>
      </c>
      <c r="I73" s="71">
        <f>AVERAGE(I57:I71)</f>
        <v>3495200</v>
      </c>
      <c r="J73" s="35">
        <f t="shared" ref="J73:L73" si="30">AVERAGE(J57:J71)</f>
        <v>0</v>
      </c>
      <c r="K73" s="36">
        <f t="shared" si="30"/>
        <v>3495200</v>
      </c>
      <c r="L73" s="64">
        <f t="shared" si="30"/>
        <v>2933333.3333333335</v>
      </c>
      <c r="M73" s="66">
        <f t="shared" si="24"/>
        <v>0.83924620431830321</v>
      </c>
      <c r="N73" s="36">
        <f>AVERAGE(N57:N71)</f>
        <v>561866.66666666663</v>
      </c>
    </row>
    <row r="74" spans="2:15" x14ac:dyDescent="0.25">
      <c r="B74" s="33"/>
      <c r="F74" s="108"/>
      <c r="G74" s="108"/>
      <c r="H74" s="108" t="s">
        <v>74</v>
      </c>
      <c r="I74" s="71">
        <f>AVERAGE(I62:I71)</f>
        <v>3920000</v>
      </c>
      <c r="J74" s="35">
        <f t="shared" ref="J74:L74" si="31">AVERAGE(J62:J71)</f>
        <v>0</v>
      </c>
      <c r="K74" s="36">
        <f t="shared" si="31"/>
        <v>3920000</v>
      </c>
      <c r="L74" s="64">
        <f t="shared" si="31"/>
        <v>4400000</v>
      </c>
      <c r="M74" s="66">
        <f t="shared" si="24"/>
        <v>1.1224489795918366</v>
      </c>
      <c r="N74" s="36">
        <f>AVERAGE(N62:N71)</f>
        <v>-480000.00000000012</v>
      </c>
    </row>
    <row r="75" spans="2:15" x14ac:dyDescent="0.25">
      <c r="B75" s="33"/>
      <c r="F75" s="108"/>
      <c r="G75" s="108"/>
      <c r="H75" s="108" t="s">
        <v>75</v>
      </c>
      <c r="I75" s="71">
        <f>AVERAGE(I65:I71)</f>
        <v>4245714.2857142854</v>
      </c>
      <c r="J75" s="35">
        <f t="shared" ref="J75:L75" si="32">AVERAGE(J65:J71)</f>
        <v>0</v>
      </c>
      <c r="K75" s="36">
        <f t="shared" si="32"/>
        <v>4245714.2857142854</v>
      </c>
      <c r="L75" s="64">
        <f t="shared" si="32"/>
        <v>6285714.2857142854</v>
      </c>
      <c r="M75" s="66">
        <f t="shared" si="24"/>
        <v>1.4804845222072678</v>
      </c>
      <c r="N75" s="36">
        <f>AVERAGE(N65:N71)</f>
        <v>-2040000</v>
      </c>
    </row>
    <row r="76" spans="2:15" x14ac:dyDescent="0.25">
      <c r="B76" s="37"/>
      <c r="C76" s="65"/>
      <c r="D76" s="65"/>
      <c r="E76" s="65"/>
      <c r="F76" s="119"/>
      <c r="G76" s="119"/>
      <c r="H76" s="119" t="s">
        <v>76</v>
      </c>
      <c r="I76" s="72">
        <f>AVERAGE(I67:I71)</f>
        <v>4432800</v>
      </c>
      <c r="J76" s="38">
        <f t="shared" ref="J76:L76" si="33">AVERAGE(J67:J71)</f>
        <v>0</v>
      </c>
      <c r="K76" s="39">
        <f t="shared" si="33"/>
        <v>4432800</v>
      </c>
      <c r="L76" s="101">
        <f t="shared" si="33"/>
        <v>1200000</v>
      </c>
      <c r="M76" s="67">
        <f t="shared" si="24"/>
        <v>0.27070925825663239</v>
      </c>
      <c r="N76" s="39">
        <f>AVERAGE(N67:N71)</f>
        <v>3232800</v>
      </c>
    </row>
  </sheetData>
  <mergeCells count="6">
    <mergeCell ref="C3:E3"/>
    <mergeCell ref="I3:K3"/>
    <mergeCell ref="C55:E55"/>
    <mergeCell ref="I55:K55"/>
    <mergeCell ref="C29:E29"/>
    <mergeCell ref="I29:K29"/>
  </mergeCells>
  <pageMargins left="0.25" right="0.25" top="0.75" bottom="0.75" header="0.3" footer="0.3"/>
  <pageSetup scale="65" fitToHeight="0" orientation="landscape" r:id="rId1"/>
  <headerFooter>
    <oddHeader>&amp;CBattleBots Extreme Pricing Challenge 2023 - Submission</oddHeader>
    <oddFooter>&amp;R&amp;F
&amp;A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 Treaty Structure</vt:lpstr>
      <vt:lpstr>SEP by Line</vt:lpstr>
      <vt:lpstr>SEP by State </vt:lpstr>
      <vt:lpstr>Rate Changes</vt:lpstr>
      <vt:lpstr>Pers APD Profile</vt:lpstr>
      <vt:lpstr>HO Prop Profile</vt:lpstr>
      <vt:lpstr>Cat Modeling</vt:lpstr>
      <vt:lpstr>Loss Experience</vt:lpstr>
      <vt:lpstr>Treaty Experience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HOLBORN - Park, Lana</dc:creator>
  <cp:lastModifiedBy>HOLBORN - Gould Rabin, Stephanie</cp:lastModifiedBy>
  <cp:lastPrinted>2023-05-30T15:03:41Z</cp:lastPrinted>
  <dcterms:created xsi:type="dcterms:W3CDTF">2023-03-08T15:13:45Z</dcterms:created>
  <dcterms:modified xsi:type="dcterms:W3CDTF">2023-05-30T15:04:48Z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{30CEB8A2-186C-495C-BF9E-9207A249CE1D}</vt:lpwstr>
  </property>
</Properties>
</file>